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alcolo" sheetId="1" r:id="rId1"/>
    <sheet name="Dati" sheetId="2" state="hidden" r:id="rId2"/>
  </sheets>
  <externalReferences>
    <externalReference r:id="rId5"/>
  </externalReferences>
  <definedNames>
    <definedName name="_xlnm.Print_Area" localSheetId="0">'calcolo'!$A$1:$L$34</definedName>
  </definedNames>
  <calcPr fullCalcOnLoad="1"/>
</workbook>
</file>

<file path=xl/sharedStrings.xml><?xml version="1.0" encoding="utf-8"?>
<sst xmlns="http://schemas.openxmlformats.org/spreadsheetml/2006/main" count="250" uniqueCount="189">
  <si>
    <t>anni</t>
  </si>
  <si>
    <t xml:space="preserve"> </t>
  </si>
  <si>
    <t>Redd totale</t>
  </si>
  <si>
    <t>scaglione</t>
  </si>
  <si>
    <t>aliquota</t>
  </si>
  <si>
    <t>imposta</t>
  </si>
  <si>
    <t>Totale imposta</t>
  </si>
  <si>
    <t>con tred.</t>
  </si>
  <si>
    <t>Anno del pensionamento</t>
  </si>
  <si>
    <t>Anzianità retributiva alla cessazione anni</t>
  </si>
  <si>
    <t>Colonna di ricerca della retribuzione</t>
  </si>
  <si>
    <t>Colonna di ricerca della retribuzione media</t>
  </si>
  <si>
    <t xml:space="preserve">Mesi residui anzianità pensionistica </t>
  </si>
  <si>
    <t>Anni interi anzianità pensionistica</t>
  </si>
  <si>
    <t>Totale mesi al 31/12/92 da convertire</t>
  </si>
  <si>
    <t>Mesi residui anzianità pensionistica al 31/12/92</t>
  </si>
  <si>
    <t>Anni anzianità al 31/12/92</t>
  </si>
  <si>
    <t>Percentuale alla cessazione</t>
  </si>
  <si>
    <t>Percentuale annua 92</t>
  </si>
  <si>
    <t>Percentuale annua 97</t>
  </si>
  <si>
    <t>doc Mat</t>
  </si>
  <si>
    <t>doc Elem</t>
  </si>
  <si>
    <t>doc sec sup</t>
  </si>
  <si>
    <t>doc dipl sec</t>
  </si>
  <si>
    <t>doc Sc media</t>
  </si>
  <si>
    <t>mesi</t>
  </si>
  <si>
    <t>giorni</t>
  </si>
  <si>
    <t>Anz utile al 31/12/1992</t>
  </si>
  <si>
    <t>pensione annuale al lordo</t>
  </si>
  <si>
    <t>ad personam</t>
  </si>
  <si>
    <t>pos ATA</t>
  </si>
  <si>
    <t>anno</t>
  </si>
  <si>
    <t>Famiglia</t>
  </si>
  <si>
    <t>Persone a carico se il reddito è</t>
  </si>
  <si>
    <t>detrazione</t>
  </si>
  <si>
    <t>100%   -   50%</t>
  </si>
  <si>
    <t>diminuzione</t>
  </si>
  <si>
    <r>
      <t xml:space="preserve">altre persone a carico n </t>
    </r>
    <r>
      <rPr>
        <b/>
        <sz val="9"/>
        <rFont val="Arial"/>
        <family val="2"/>
      </rPr>
      <t>&gt;</t>
    </r>
  </si>
  <si>
    <r>
      <t xml:space="preserve">Genitore 1                        </t>
    </r>
    <r>
      <rPr>
        <b/>
        <sz val="9"/>
        <rFont val="Arial"/>
        <family val="2"/>
      </rPr>
      <t>&gt;</t>
    </r>
  </si>
  <si>
    <r>
      <t xml:space="preserve">Genitore 2                        </t>
    </r>
    <r>
      <rPr>
        <b/>
        <sz val="9"/>
        <rFont val="Arial"/>
        <family val="2"/>
      </rPr>
      <t>&gt;</t>
    </r>
  </si>
  <si>
    <r>
      <t xml:space="preserve">Figli n                                </t>
    </r>
    <r>
      <rPr>
        <b/>
        <sz val="9"/>
        <color indexed="12"/>
        <rFont val="Arial"/>
        <family val="2"/>
      </rPr>
      <t>&gt;</t>
    </r>
  </si>
  <si>
    <r>
      <t xml:space="preserve">inferiore anni tre n          </t>
    </r>
    <r>
      <rPr>
        <b/>
        <sz val="9"/>
        <rFont val="Arial"/>
        <family val="2"/>
      </rPr>
      <t>&gt;</t>
    </r>
  </si>
  <si>
    <r>
      <t xml:space="preserve">portatori handicap n       </t>
    </r>
    <r>
      <rPr>
        <b/>
        <sz val="9"/>
        <rFont val="Arial"/>
        <family val="2"/>
      </rPr>
      <t>&gt;</t>
    </r>
  </si>
  <si>
    <r>
      <t xml:space="preserve">maggiorenni n                 </t>
    </r>
    <r>
      <rPr>
        <b/>
        <sz val="9"/>
        <rFont val="Arial"/>
        <family val="2"/>
      </rPr>
      <t>&gt;</t>
    </r>
  </si>
  <si>
    <r>
      <t xml:space="preserve">Totale diminuzione  </t>
    </r>
    <r>
      <rPr>
        <b/>
        <sz val="9"/>
        <rFont val="Arial"/>
        <family val="2"/>
      </rPr>
      <t>&gt;</t>
    </r>
  </si>
  <si>
    <t>Anzianità pensionistica al 31/12/92 in anni e mesi</t>
  </si>
  <si>
    <t>Quota di pensione periodo 92/97</t>
  </si>
  <si>
    <t>Quota pensione dal 98 in poi</t>
  </si>
  <si>
    <t>Pensione mensile lorda</t>
  </si>
  <si>
    <t>Irpef lorda</t>
  </si>
  <si>
    <t>Collab Scol</t>
  </si>
  <si>
    <t>Ass amm/tec</t>
  </si>
  <si>
    <t>Collaboratore scolastico</t>
  </si>
  <si>
    <t>Responsabile amministrativo</t>
  </si>
  <si>
    <t>Insegnante scuola materna</t>
  </si>
  <si>
    <t>Insegnante scuola elementare</t>
  </si>
  <si>
    <t>Insegnante scuola media</t>
  </si>
  <si>
    <t>anz.</t>
  </si>
  <si>
    <t>Stipendio</t>
  </si>
  <si>
    <t>Media</t>
  </si>
  <si>
    <t>FASCE</t>
  </si>
  <si>
    <t xml:space="preserve">Collaboratore </t>
  </si>
  <si>
    <t xml:space="preserve">Assistenti </t>
  </si>
  <si>
    <t>Coordinatore</t>
  </si>
  <si>
    <t>Docenti</t>
  </si>
  <si>
    <t>ITP - Docenti</t>
  </si>
  <si>
    <t>Docenti laur.</t>
  </si>
  <si>
    <t>ANZ.</t>
  </si>
  <si>
    <t>scolastico</t>
  </si>
  <si>
    <t>amministrativi</t>
  </si>
  <si>
    <t>amministrativo</t>
  </si>
  <si>
    <t>materna</t>
  </si>
  <si>
    <t>elementare</t>
  </si>
  <si>
    <t>diplomati sc.</t>
  </si>
  <si>
    <t>scuola media</t>
  </si>
  <si>
    <t>secondaria</t>
  </si>
  <si>
    <t>Media al 31/8/2010 =</t>
  </si>
  <si>
    <t>e tecnici</t>
  </si>
  <si>
    <t>e tecnico</t>
  </si>
  <si>
    <t>superiore</t>
  </si>
  <si>
    <t xml:space="preserve">I.I.S. </t>
  </si>
  <si>
    <t>Assistente tecnico/amministrativo</t>
  </si>
  <si>
    <t>Fino a</t>
  </si>
  <si>
    <t>%</t>
  </si>
  <si>
    <t>Importo</t>
  </si>
  <si>
    <t>Insegnante tecnico-pratico</t>
  </si>
  <si>
    <t>Insegnante secondaria superiore</t>
  </si>
  <si>
    <t>Media ridotta 2010 =</t>
  </si>
  <si>
    <t>IVC</t>
  </si>
  <si>
    <t>Responsabileamministrativo</t>
  </si>
  <si>
    <t>indici previsionali</t>
  </si>
  <si>
    <t>aggiornare a gennaio</t>
  </si>
  <si>
    <t>PPPPP</t>
  </si>
  <si>
    <t>Mensile lorda</t>
  </si>
  <si>
    <r>
      <t xml:space="preserve">inferiore a </t>
    </r>
    <r>
      <rPr>
        <b/>
        <sz val="9"/>
        <rFont val="Arial"/>
        <family val="2"/>
      </rPr>
      <t>€ 2.840,50</t>
    </r>
  </si>
  <si>
    <t>€</t>
  </si>
  <si>
    <r>
      <t xml:space="preserve">Calcolo  </t>
    </r>
    <r>
      <rPr>
        <sz val="9"/>
        <color indexed="10"/>
        <rFont val="Arial"/>
        <family val="2"/>
      </rPr>
      <t>approssimativo</t>
    </r>
    <r>
      <rPr>
        <sz val="9"/>
        <rFont val="Arial"/>
        <family val="2"/>
      </rPr>
      <t xml:space="preserve"> pensione anno 2011</t>
    </r>
  </si>
  <si>
    <t>Irpef mens</t>
  </si>
  <si>
    <t>detr mens</t>
  </si>
  <si>
    <t>tot detraz                  &gt;</t>
  </si>
  <si>
    <t>sino a</t>
  </si>
  <si>
    <t>detr</t>
  </si>
  <si>
    <t>IMPON</t>
  </si>
  <si>
    <t>detrazione personale mese</t>
  </si>
  <si>
    <t>priva di  tred.</t>
  </si>
  <si>
    <t>retrib annuale priva di IISP</t>
  </si>
  <si>
    <t>retrib inclusa somma ad personam</t>
  </si>
  <si>
    <t>IISP annua</t>
  </si>
  <si>
    <t>tot retrib tipo A</t>
  </si>
  <si>
    <r>
      <t xml:space="preserve">Anz utile al </t>
    </r>
    <r>
      <rPr>
        <sz val="9"/>
        <color indexed="10"/>
        <rFont val="Arial"/>
        <family val="2"/>
      </rPr>
      <t xml:space="preserve">duemila undici </t>
    </r>
  </si>
  <si>
    <t>importo</t>
  </si>
  <si>
    <t>quantità</t>
  </si>
  <si>
    <r>
      <t xml:space="preserve">classe </t>
    </r>
    <r>
      <rPr>
        <sz val="9"/>
        <color indexed="10"/>
        <rFont val="Arial"/>
        <family val="2"/>
      </rPr>
      <t>acquisita</t>
    </r>
  </si>
  <si>
    <t>Irpef netta</t>
  </si>
  <si>
    <t>dettaglio calcolo Irpef</t>
  </si>
  <si>
    <t>Detraz nucleo fam</t>
  </si>
  <si>
    <t>Detrazione reddito</t>
  </si>
  <si>
    <t>Pensione annua lorda</t>
  </si>
  <si>
    <t>Esempio cedolino Inpdap</t>
  </si>
  <si>
    <t>retrib + il diciotto per cento</t>
  </si>
  <si>
    <t>totale</t>
  </si>
  <si>
    <r>
      <t xml:space="preserve">ad personam quota </t>
    </r>
    <r>
      <rPr>
        <sz val="9"/>
        <color indexed="10"/>
        <rFont val="Arial"/>
        <family val="2"/>
      </rPr>
      <t>A</t>
    </r>
  </si>
  <si>
    <r>
      <t xml:space="preserve">pos ATA quota </t>
    </r>
    <r>
      <rPr>
        <sz val="9"/>
        <color indexed="8"/>
        <rFont val="Arial"/>
        <family val="2"/>
      </rPr>
      <t>A</t>
    </r>
  </si>
  <si>
    <r>
      <t>assegno utile</t>
    </r>
    <r>
      <rPr>
        <sz val="9"/>
        <color indexed="10"/>
        <rFont val="Arial"/>
        <family val="2"/>
      </rPr>
      <t xml:space="preserve"> quota </t>
    </r>
    <r>
      <rPr>
        <sz val="9"/>
        <color indexed="8"/>
        <rFont val="Arial"/>
        <family val="2"/>
      </rPr>
      <t>A</t>
    </r>
  </si>
  <si>
    <t>assegno utile quota A</t>
  </si>
  <si>
    <r>
      <t xml:space="preserve">Importo rata in </t>
    </r>
    <r>
      <rPr>
        <sz val="9"/>
        <color indexed="17"/>
        <rFont val="Arial"/>
        <family val="2"/>
      </rPr>
      <t>pagamento</t>
    </r>
  </si>
  <si>
    <t>settembre 2011 giorno 16</t>
  </si>
  <si>
    <t>Ornella Dicelebugie il Marito Pure</t>
  </si>
  <si>
    <t>Disponibile per chiarimenti</t>
  </si>
  <si>
    <t>Questo fogliettino non pretende di essere esatto</t>
  </si>
  <si>
    <t>Segnala eventuali errori</t>
  </si>
  <si>
    <t>scnppnchiocciolaalicepuntoit</t>
  </si>
  <si>
    <t>autore Peppino Scandale IPSCT Forum FNADA</t>
  </si>
  <si>
    <t xml:space="preserve">netto mensile </t>
  </si>
  <si>
    <t>ritenute/trattenute</t>
  </si>
  <si>
    <t>celle libere</t>
  </si>
  <si>
    <t>A3</t>
  </si>
  <si>
    <t>B4  C4  D4</t>
  </si>
  <si>
    <t>da D26 a D32     H10</t>
  </si>
  <si>
    <t>J2 convalida obbligatoria</t>
  </si>
  <si>
    <t xml:space="preserve">calcolo Irpef </t>
  </si>
  <si>
    <t xml:space="preserve"> calcolo  </t>
  </si>
  <si>
    <t>Anz della pensione  data di cess ( anni e mesi)</t>
  </si>
  <si>
    <t>Perc e coeff al 31/12/92</t>
  </si>
  <si>
    <t>Parte a pensionistica</t>
  </si>
  <si>
    <t>Anz pensionistica al 31/12/97 in anni e mesi</t>
  </si>
  <si>
    <t>Perc e coeff al 31/12/97</t>
  </si>
  <si>
    <t>Perc e coeff del periodo  92/97</t>
  </si>
  <si>
    <t>Retrib media degli ultimi 120 mesi rivalutata</t>
  </si>
  <si>
    <t>Retrib media maggiorata del 18%</t>
  </si>
  <si>
    <t>IISP annua rivalutata</t>
  </si>
  <si>
    <t>Retrib media per calcolo periodo 92/97</t>
  </si>
  <si>
    <t>Perc e coeff periodo dal 98 in poi</t>
  </si>
  <si>
    <t>Retrib media totale per calcolo dal 98 in poi</t>
  </si>
  <si>
    <t>Parte b  pensionsionista</t>
  </si>
  <si>
    <t>pens mensile lorda</t>
  </si>
  <si>
    <t>Detraz  reddito</t>
  </si>
  <si>
    <t>Detraz  car  fam</t>
  </si>
  <si>
    <t>Irpef netta trattenuta</t>
  </si>
  <si>
    <t>pens mese da spendere</t>
  </si>
  <si>
    <t>Anz retribuzione mese lorda</t>
  </si>
  <si>
    <t>Anz retribuz mese lorda</t>
  </si>
  <si>
    <t>Retrib annuale priva di IISP</t>
  </si>
  <si>
    <t>Retrib inclusa somma ad personam</t>
  </si>
  <si>
    <t>Retrib + il diciotto per cento</t>
  </si>
  <si>
    <t>IISP ANNUA</t>
  </si>
  <si>
    <t>Anz della pensione data di cess ( anni e mesi)</t>
  </si>
  <si>
    <t>Perc e coeff alla cessazione</t>
  </si>
  <si>
    <t>pens  annua lorda (parte a+parte b)</t>
  </si>
  <si>
    <t>parte b pensionistica</t>
  </si>
  <si>
    <t>pens annua lorda ( a+b)</t>
  </si>
  <si>
    <t>Detraz reddito</t>
  </si>
  <si>
    <t>Coll scolastici</t>
  </si>
  <si>
    <t>ex liv IV</t>
  </si>
  <si>
    <t>vuoto</t>
  </si>
  <si>
    <t>Doc mat</t>
  </si>
  <si>
    <t>Doci elem</t>
  </si>
  <si>
    <t>Doci dipl sec</t>
  </si>
  <si>
    <t>Doc sc media</t>
  </si>
  <si>
    <t>Doc sec sup</t>
  </si>
  <si>
    <t>Coef rivalutazione</t>
  </si>
  <si>
    <t>istat</t>
  </si>
  <si>
    <t>iisp</t>
  </si>
  <si>
    <t>iisp riv</t>
  </si>
  <si>
    <t>Voci  A11+A12+A13</t>
  </si>
  <si>
    <t>Voci  A11+A12+A13*12</t>
  </si>
  <si>
    <t>si avvicina molto all'importo pensione duemila 11</t>
  </si>
  <si>
    <t xml:space="preserve">B7 filtro da B26    </t>
  </si>
  <si>
    <t xml:space="preserve"> a B32  da  C26 a C32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</si>
</sst>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_-* #,##0.0000_-;\-* #,##0.0000_-;_-* &quot;-&quot;_-;_-@_-"/>
    <numFmt numFmtId="166" formatCode="_-* #,##0.00_-;\-* #,##0.00_-;_-* &quot;-&quot;_-;_-@_-"/>
    <numFmt numFmtId="167" formatCode=";;;"/>
    <numFmt numFmtId="168" formatCode="0.0000"/>
    <numFmt numFmtId="169" formatCode="0.00000"/>
    <numFmt numFmtId="170" formatCode="_-* #,##0_-;\-* #,##0_-;_-* &quot;-&quot;??_-;_-@_-"/>
    <numFmt numFmtId="171" formatCode="_-* #,##0.0000_-;\-* #,##0.0000_-;_-* &quot;-&quot;??_-;_-@_-"/>
    <numFmt numFmtId="172" formatCode="0.000000"/>
    <numFmt numFmtId="173" formatCode="#,##0.000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61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59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b/>
      <sz val="9"/>
      <color indexed="61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medium"/>
      <bottom style="dotted"/>
    </border>
    <border>
      <left style="dotted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hair"/>
      <top style="thin"/>
      <bottom style="thin"/>
    </border>
    <border>
      <left style="thin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hair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 style="hair"/>
      <bottom style="hair"/>
    </border>
    <border>
      <left style="hair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20" fillId="24" borderId="10" xfId="0" applyNumberFormat="1" applyFont="1" applyFill="1" applyBorder="1" applyAlignment="1" applyProtection="1">
      <alignment/>
      <protection hidden="1"/>
    </xf>
    <xf numFmtId="9" fontId="20" fillId="24" borderId="10" xfId="0" applyNumberFormat="1" applyFont="1" applyFill="1" applyBorder="1" applyAlignment="1" applyProtection="1">
      <alignment horizontal="center"/>
      <protection hidden="1"/>
    </xf>
    <xf numFmtId="4" fontId="19" fillId="24" borderId="11" xfId="0" applyNumberFormat="1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 horizontal="center"/>
      <protection locked="0"/>
    </xf>
    <xf numFmtId="43" fontId="20" fillId="24" borderId="0" xfId="43" applyFont="1" applyFill="1" applyBorder="1" applyAlignment="1" applyProtection="1">
      <alignment horizontal="center"/>
      <protection locked="0"/>
    </xf>
    <xf numFmtId="4" fontId="20" fillId="24" borderId="12" xfId="0" applyNumberFormat="1" applyFont="1" applyFill="1" applyBorder="1" applyAlignment="1" applyProtection="1">
      <alignment horizontal="right"/>
      <protection locked="0"/>
    </xf>
    <xf numFmtId="4" fontId="20" fillId="24" borderId="13" xfId="0" applyNumberFormat="1" applyFont="1" applyFill="1" applyBorder="1" applyAlignment="1" applyProtection="1">
      <alignment horizontal="right"/>
      <protection locked="0"/>
    </xf>
    <xf numFmtId="0" fontId="20" fillId="24" borderId="0" xfId="0" applyFont="1" applyFill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24" borderId="14" xfId="0" applyNumberFormat="1" applyFont="1" applyFill="1" applyBorder="1" applyAlignment="1" applyProtection="1">
      <alignment horizontal="center"/>
      <protection locked="0"/>
    </xf>
    <xf numFmtId="4" fontId="20" fillId="24" borderId="0" xfId="0" applyNumberFormat="1" applyFont="1" applyFill="1" applyBorder="1" applyAlignment="1" applyProtection="1">
      <alignment horizontal="center"/>
      <protection locked="0"/>
    </xf>
    <xf numFmtId="0" fontId="20" fillId="24" borderId="16" xfId="0" applyNumberFormat="1" applyFont="1" applyFill="1" applyBorder="1" applyAlignment="1" applyProtection="1">
      <alignment horizontal="center" vertical="center"/>
      <protection locked="0"/>
    </xf>
    <xf numFmtId="4" fontId="20" fillId="24" borderId="17" xfId="0" applyNumberFormat="1" applyFont="1" applyFill="1" applyBorder="1" applyAlignment="1" applyProtection="1">
      <alignment horizontal="center" vertical="center"/>
      <protection locked="0"/>
    </xf>
    <xf numFmtId="4" fontId="20" fillId="24" borderId="18" xfId="0" applyNumberFormat="1" applyFont="1" applyFill="1" applyBorder="1" applyAlignment="1" applyProtection="1">
      <alignment horizontal="right"/>
      <protection locked="0"/>
    </xf>
    <xf numFmtId="0" fontId="20" fillId="24" borderId="19" xfId="0" applyNumberFormat="1" applyFont="1" applyFill="1" applyBorder="1" applyAlignment="1" applyProtection="1">
      <alignment horizontal="center" vertical="center"/>
      <protection locked="0"/>
    </xf>
    <xf numFmtId="4" fontId="20" fillId="24" borderId="20" xfId="0" applyNumberFormat="1" applyFont="1" applyFill="1" applyBorder="1" applyAlignment="1" applyProtection="1">
      <alignment horizontal="center" vertical="center"/>
      <protection locked="0"/>
    </xf>
    <xf numFmtId="4" fontId="20" fillId="24" borderId="12" xfId="0" applyNumberFormat="1" applyFont="1" applyFill="1" applyBorder="1" applyAlignment="1" applyProtection="1">
      <alignment/>
      <protection locked="0"/>
    </xf>
    <xf numFmtId="0" fontId="20" fillId="24" borderId="21" xfId="0" applyNumberFormat="1" applyFont="1" applyFill="1" applyBorder="1" applyAlignment="1" applyProtection="1">
      <alignment horizontal="center" vertical="center"/>
      <protection locked="0"/>
    </xf>
    <xf numFmtId="4" fontId="20" fillId="24" borderId="22" xfId="0" applyNumberFormat="1" applyFont="1" applyFill="1" applyBorder="1" applyAlignment="1" applyProtection="1">
      <alignment/>
      <protection locked="0"/>
    </xf>
    <xf numFmtId="166" fontId="26" fillId="24" borderId="0" xfId="0" applyNumberFormat="1" applyFont="1" applyFill="1" applyBorder="1" applyAlignment="1" applyProtection="1">
      <alignment horizontal="center"/>
      <protection locked="0"/>
    </xf>
    <xf numFmtId="166" fontId="26" fillId="24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 horizontal="center" vertical="center"/>
      <protection hidden="1"/>
    </xf>
    <xf numFmtId="0" fontId="20" fillId="24" borderId="23" xfId="0" applyFont="1" applyFill="1" applyBorder="1" applyAlignment="1" applyProtection="1">
      <alignment horizontal="center" vertical="center"/>
      <protection hidden="1"/>
    </xf>
    <xf numFmtId="0" fontId="23" fillId="24" borderId="24" xfId="0" applyFont="1" applyFill="1" applyBorder="1" applyAlignment="1" applyProtection="1">
      <alignment horizontal="left"/>
      <protection hidden="1"/>
    </xf>
    <xf numFmtId="0" fontId="23" fillId="24" borderId="25" xfId="0" applyFont="1" applyFill="1" applyBorder="1" applyAlignment="1" applyProtection="1">
      <alignment horizontal="left"/>
      <protection hidden="1"/>
    </xf>
    <xf numFmtId="4" fontId="21" fillId="0" borderId="26" xfId="0" applyNumberFormat="1" applyFont="1" applyFill="1" applyBorder="1" applyAlignment="1" applyProtection="1">
      <alignment horizontal="left"/>
      <protection hidden="1"/>
    </xf>
    <xf numFmtId="0" fontId="27" fillId="10" borderId="24" xfId="0" applyFont="1" applyFill="1" applyBorder="1" applyAlignment="1" applyProtection="1">
      <alignment/>
      <protection hidden="1"/>
    </xf>
    <xf numFmtId="4" fontId="20" fillId="24" borderId="27" xfId="0" applyNumberFormat="1" applyFont="1" applyFill="1" applyBorder="1" applyAlignment="1" applyProtection="1">
      <alignment horizontal="center"/>
      <protection hidden="1"/>
    </xf>
    <xf numFmtId="0" fontId="21" fillId="0" borderId="26" xfId="0" applyFont="1" applyFill="1" applyBorder="1" applyAlignment="1" applyProtection="1">
      <alignment horizontal="left"/>
      <protection hidden="1"/>
    </xf>
    <xf numFmtId="4" fontId="29" fillId="0" borderId="24" xfId="0" applyNumberFormat="1" applyFont="1" applyFill="1" applyBorder="1" applyAlignment="1" applyProtection="1">
      <alignment horizontal="left"/>
      <protection hidden="1"/>
    </xf>
    <xf numFmtId="0" fontId="28" fillId="0" borderId="26" xfId="0" applyFont="1" applyFill="1" applyBorder="1" applyAlignment="1" applyProtection="1">
      <alignment/>
      <protection hidden="1"/>
    </xf>
    <xf numFmtId="0" fontId="21" fillId="10" borderId="0" xfId="0" applyFont="1" applyFill="1" applyBorder="1" applyAlignment="1" applyProtection="1">
      <alignment horizontal="center"/>
      <protection hidden="1"/>
    </xf>
    <xf numFmtId="0" fontId="20" fillId="24" borderId="10" xfId="0" applyFont="1" applyFill="1" applyBorder="1" applyAlignment="1" applyProtection="1">
      <alignment horizontal="center"/>
      <protection hidden="1"/>
    </xf>
    <xf numFmtId="0" fontId="20" fillId="24" borderId="14" xfId="0" applyFont="1" applyFill="1" applyBorder="1" applyAlignment="1" applyProtection="1">
      <alignment horizontal="center"/>
      <protection hidden="1"/>
    </xf>
    <xf numFmtId="0" fontId="20" fillId="24" borderId="28" xfId="0" applyFont="1" applyFill="1" applyBorder="1" applyAlignment="1" applyProtection="1">
      <alignment horizontal="center"/>
      <protection hidden="1"/>
    </xf>
    <xf numFmtId="4" fontId="20" fillId="24" borderId="0" xfId="0" applyNumberFormat="1" applyFont="1" applyFill="1" applyBorder="1" applyAlignment="1" applyProtection="1">
      <alignment horizontal="center"/>
      <protection hidden="1"/>
    </xf>
    <xf numFmtId="4" fontId="21" fillId="0" borderId="29" xfId="0" applyNumberFormat="1" applyFont="1" applyFill="1" applyBorder="1" applyAlignment="1" applyProtection="1">
      <alignment horizontal="left"/>
      <protection hidden="1"/>
    </xf>
    <xf numFmtId="4" fontId="22" fillId="0" borderId="30" xfId="0" applyNumberFormat="1" applyFont="1" applyBorder="1" applyAlignment="1" applyProtection="1">
      <alignment horizontal="center" vertical="center"/>
      <protection hidden="1"/>
    </xf>
    <xf numFmtId="0" fontId="19" fillId="11" borderId="10" xfId="0" applyFont="1" applyFill="1" applyBorder="1" applyAlignment="1" applyProtection="1">
      <alignment horizontal="center"/>
      <protection hidden="1"/>
    </xf>
    <xf numFmtId="0" fontId="19" fillId="15" borderId="10" xfId="0" applyFont="1" applyFill="1" applyBorder="1" applyAlignment="1" applyProtection="1">
      <alignment horizontal="center"/>
      <protection hidden="1"/>
    </xf>
    <xf numFmtId="0" fontId="24" fillId="19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4" fontId="19" fillId="25" borderId="31" xfId="0" applyNumberFormat="1" applyFont="1" applyFill="1" applyBorder="1" applyAlignment="1" applyProtection="1">
      <alignment horizontal="center"/>
      <protection hidden="1"/>
    </xf>
    <xf numFmtId="0" fontId="20" fillId="24" borderId="32" xfId="0" applyFont="1" applyFill="1" applyBorder="1" applyAlignment="1" applyProtection="1">
      <alignment horizontal="center"/>
      <protection hidden="1"/>
    </xf>
    <xf numFmtId="0" fontId="20" fillId="24" borderId="33" xfId="0" applyFont="1" applyFill="1" applyBorder="1" applyAlignment="1" applyProtection="1">
      <alignment horizontal="center"/>
      <protection hidden="1"/>
    </xf>
    <xf numFmtId="0" fontId="19" fillId="24" borderId="33" xfId="0" applyFont="1" applyFill="1" applyBorder="1" applyAlignment="1" applyProtection="1">
      <alignment horizontal="center"/>
      <protection hidden="1"/>
    </xf>
    <xf numFmtId="0" fontId="20" fillId="24" borderId="34" xfId="0" applyFont="1" applyFill="1" applyBorder="1" applyAlignment="1" applyProtection="1">
      <alignment horizontal="center" vertical="center"/>
      <protection hidden="1"/>
    </xf>
    <xf numFmtId="0" fontId="19" fillId="26" borderId="29" xfId="0" applyFont="1" applyFill="1" applyBorder="1" applyAlignment="1" applyProtection="1">
      <alignment horizontal="center"/>
      <protection hidden="1"/>
    </xf>
    <xf numFmtId="0" fontId="20" fillId="24" borderId="35" xfId="0" applyFont="1" applyFill="1" applyBorder="1" applyAlignment="1" applyProtection="1">
      <alignment horizontal="center"/>
      <protection hidden="1"/>
    </xf>
    <xf numFmtId="0" fontId="20" fillId="24" borderId="36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center"/>
      <protection hidden="1"/>
    </xf>
    <xf numFmtId="0" fontId="20" fillId="24" borderId="37" xfId="0" applyFont="1" applyFill="1" applyBorder="1" applyAlignment="1" applyProtection="1">
      <alignment horizontal="center"/>
      <protection hidden="1"/>
    </xf>
    <xf numFmtId="0" fontId="20" fillId="24" borderId="38" xfId="0" applyFont="1" applyFill="1" applyBorder="1" applyAlignment="1" applyProtection="1">
      <alignment horizontal="center"/>
      <protection hidden="1"/>
    </xf>
    <xf numFmtId="0" fontId="20" fillId="26" borderId="0" xfId="0" applyFont="1" applyFill="1" applyBorder="1" applyAlignment="1" applyProtection="1">
      <alignment horizontal="center"/>
      <protection hidden="1"/>
    </xf>
    <xf numFmtId="4" fontId="22" fillId="24" borderId="10" xfId="0" applyNumberFormat="1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 horizontal="center"/>
      <protection hidden="1"/>
    </xf>
    <xf numFmtId="0" fontId="23" fillId="24" borderId="0" xfId="0" applyFont="1" applyFill="1" applyBorder="1" applyAlignment="1" applyProtection="1">
      <alignment horizontal="center"/>
      <protection hidden="1"/>
    </xf>
    <xf numFmtId="9" fontId="20" fillId="24" borderId="39" xfId="0" applyNumberFormat="1" applyFont="1" applyFill="1" applyBorder="1" applyAlignment="1" applyProtection="1">
      <alignment horizontal="center"/>
      <protection hidden="1"/>
    </xf>
    <xf numFmtId="4" fontId="32" fillId="24" borderId="39" xfId="0" applyNumberFormat="1" applyFont="1" applyFill="1" applyBorder="1" applyAlignment="1" applyProtection="1">
      <alignment horizontal="right"/>
      <protection hidden="1"/>
    </xf>
    <xf numFmtId="4" fontId="20" fillId="24" borderId="40" xfId="0" applyNumberFormat="1" applyFont="1" applyFill="1" applyBorder="1" applyAlignment="1" applyProtection="1">
      <alignment horizontal="center"/>
      <protection hidden="1"/>
    </xf>
    <xf numFmtId="1" fontId="22" fillId="24" borderId="41" xfId="0" applyNumberFormat="1" applyFont="1" applyFill="1" applyBorder="1" applyAlignment="1" applyProtection="1">
      <alignment horizontal="center"/>
      <protection hidden="1"/>
    </xf>
    <xf numFmtId="1" fontId="20" fillId="24" borderId="39" xfId="0" applyNumberFormat="1" applyFont="1" applyFill="1" applyBorder="1" applyAlignment="1" applyProtection="1">
      <alignment horizontal="center"/>
      <protection hidden="1"/>
    </xf>
    <xf numFmtId="4" fontId="20" fillId="24" borderId="39" xfId="0" applyNumberFormat="1" applyFont="1" applyFill="1" applyBorder="1" applyAlignment="1" applyProtection="1">
      <alignment horizontal="right"/>
      <protection hidden="1"/>
    </xf>
    <xf numFmtId="0" fontId="20" fillId="24" borderId="40" xfId="0" applyFont="1" applyFill="1" applyBorder="1" applyAlignment="1" applyProtection="1">
      <alignment/>
      <protection hidden="1"/>
    </xf>
    <xf numFmtId="0" fontId="20" fillId="24" borderId="0" xfId="0" applyFont="1" applyFill="1" applyAlignment="1" applyProtection="1">
      <alignment/>
      <protection hidden="1"/>
    </xf>
    <xf numFmtId="0" fontId="19" fillId="24" borderId="40" xfId="0" applyFont="1" applyFill="1" applyBorder="1" applyAlignment="1" applyProtection="1">
      <alignment horizontal="center"/>
      <protection hidden="1"/>
    </xf>
    <xf numFmtId="0" fontId="20" fillId="24" borderId="0" xfId="0" applyFont="1" applyFill="1" applyBorder="1" applyAlignment="1" applyProtection="1">
      <alignment/>
      <protection hidden="1"/>
    </xf>
    <xf numFmtId="0" fontId="21" fillId="24" borderId="42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0" fillId="24" borderId="40" xfId="0" applyFont="1" applyFill="1" applyBorder="1" applyAlignment="1" applyProtection="1">
      <alignment horizontal="center"/>
      <protection hidden="1"/>
    </xf>
    <xf numFmtId="0" fontId="20" fillId="24" borderId="43" xfId="0" applyFont="1" applyFill="1" applyBorder="1" applyAlignment="1" applyProtection="1">
      <alignment/>
      <protection hidden="1"/>
    </xf>
    <xf numFmtId="0" fontId="20" fillId="24" borderId="44" xfId="0" applyFont="1" applyFill="1" applyBorder="1" applyAlignment="1" applyProtection="1">
      <alignment horizontal="center"/>
      <protection hidden="1"/>
    </xf>
    <xf numFmtId="17" fontId="20" fillId="24" borderId="45" xfId="0" applyNumberFormat="1" applyFont="1" applyFill="1" applyBorder="1" applyAlignment="1" applyProtection="1">
      <alignment horizontal="center"/>
      <protection hidden="1"/>
    </xf>
    <xf numFmtId="0" fontId="19" fillId="22" borderId="42" xfId="0" applyFont="1" applyFill="1" applyBorder="1" applyAlignment="1" applyProtection="1">
      <alignment horizontal="center" vertical="distributed"/>
      <protection hidden="1"/>
    </xf>
    <xf numFmtId="0" fontId="19" fillId="24" borderId="46" xfId="0" applyFont="1" applyFill="1" applyBorder="1" applyAlignment="1" applyProtection="1">
      <alignment horizontal="center"/>
      <protection hidden="1"/>
    </xf>
    <xf numFmtId="4" fontId="20" fillId="24" borderId="39" xfId="0" applyNumberFormat="1" applyFont="1" applyFill="1" applyBorder="1" applyAlignment="1" applyProtection="1">
      <alignment horizontal="center"/>
      <protection hidden="1"/>
    </xf>
    <xf numFmtId="4" fontId="20" fillId="24" borderId="47" xfId="0" applyNumberFormat="1" applyFont="1" applyFill="1" applyBorder="1" applyAlignment="1" applyProtection="1">
      <alignment horizontal="right"/>
      <protection hidden="1"/>
    </xf>
    <xf numFmtId="0" fontId="20" fillId="24" borderId="41" xfId="0" applyFont="1" applyFill="1" applyBorder="1" applyAlignment="1" applyProtection="1">
      <alignment/>
      <protection hidden="1"/>
    </xf>
    <xf numFmtId="4" fontId="20" fillId="24" borderId="42" xfId="0" applyNumberFormat="1" applyFont="1" applyFill="1" applyBorder="1" applyAlignment="1" applyProtection="1">
      <alignment/>
      <protection hidden="1"/>
    </xf>
    <xf numFmtId="0" fontId="20" fillId="24" borderId="42" xfId="0" applyFont="1" applyFill="1" applyBorder="1" applyAlignment="1" applyProtection="1">
      <alignment/>
      <protection hidden="1"/>
    </xf>
    <xf numFmtId="0" fontId="20" fillId="24" borderId="39" xfId="0" applyFont="1" applyFill="1" applyBorder="1" applyAlignment="1" applyProtection="1">
      <alignment horizontal="center"/>
      <protection hidden="1"/>
    </xf>
    <xf numFmtId="4" fontId="20" fillId="24" borderId="39" xfId="0" applyNumberFormat="1" applyFont="1" applyFill="1" applyBorder="1" applyAlignment="1" applyProtection="1">
      <alignment/>
      <protection hidden="1"/>
    </xf>
    <xf numFmtId="0" fontId="20" fillId="24" borderId="0" xfId="0" applyFont="1" applyFill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20" fillId="22" borderId="24" xfId="0" applyFont="1" applyFill="1" applyBorder="1" applyAlignment="1" applyProtection="1">
      <alignment horizontal="left"/>
      <protection locked="0"/>
    </xf>
    <xf numFmtId="0" fontId="20" fillId="24" borderId="48" xfId="0" applyFont="1" applyFill="1" applyBorder="1" applyAlignment="1" applyProtection="1">
      <alignment horizontal="center"/>
      <protection locked="0"/>
    </xf>
    <xf numFmtId="166" fontId="20" fillId="24" borderId="0" xfId="0" applyNumberFormat="1" applyFont="1" applyFill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0" fontId="20" fillId="24" borderId="0" xfId="0" applyFont="1" applyFill="1" applyAlignment="1" applyProtection="1">
      <alignment horizontal="center"/>
      <protection locked="0"/>
    </xf>
    <xf numFmtId="0" fontId="23" fillId="24" borderId="49" xfId="0" applyFont="1" applyFill="1" applyBorder="1" applyAlignment="1" applyProtection="1">
      <alignment horizontal="center"/>
      <protection locked="0"/>
    </xf>
    <xf numFmtId="4" fontId="20" fillId="24" borderId="0" xfId="0" applyNumberFormat="1" applyFont="1" applyFill="1" applyAlignment="1" applyProtection="1">
      <alignment/>
      <protection locked="0"/>
    </xf>
    <xf numFmtId="4" fontId="20" fillId="24" borderId="0" xfId="0" applyNumberFormat="1" applyFont="1" applyFill="1" applyAlignment="1" applyProtection="1">
      <alignment horizontal="center"/>
      <protection locked="0"/>
    </xf>
    <xf numFmtId="4" fontId="22" fillId="24" borderId="49" xfId="0" applyNumberFormat="1" applyFont="1" applyFill="1" applyBorder="1" applyAlignment="1" applyProtection="1">
      <alignment horizontal="center"/>
      <protection locked="0"/>
    </xf>
    <xf numFmtId="10" fontId="20" fillId="24" borderId="0" xfId="0" applyNumberFormat="1" applyFont="1" applyFill="1" applyBorder="1" applyAlignment="1" applyProtection="1">
      <alignment horizontal="center"/>
      <protection locked="0"/>
    </xf>
    <xf numFmtId="0" fontId="20" fillId="24" borderId="49" xfId="0" applyFont="1" applyFill="1" applyBorder="1" applyAlignment="1" applyProtection="1">
      <alignment/>
      <protection locked="0"/>
    </xf>
    <xf numFmtId="43" fontId="20" fillId="0" borderId="0" xfId="43" applyFont="1" applyFill="1" applyBorder="1" applyAlignment="1" applyProtection="1">
      <alignment/>
      <protection locked="0"/>
    </xf>
    <xf numFmtId="43" fontId="20" fillId="24" borderId="0" xfId="0" applyNumberFormat="1" applyFont="1" applyFill="1" applyAlignment="1" applyProtection="1">
      <alignment/>
      <protection locked="0"/>
    </xf>
    <xf numFmtId="0" fontId="20" fillId="24" borderId="13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0" fillId="24" borderId="50" xfId="0" applyFont="1" applyFill="1" applyBorder="1" applyAlignment="1" applyProtection="1">
      <alignment/>
      <protection locked="0"/>
    </xf>
    <xf numFmtId="4" fontId="19" fillId="24" borderId="0" xfId="0" applyNumberFormat="1" applyFont="1" applyFill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center"/>
      <protection locked="0"/>
    </xf>
    <xf numFmtId="4" fontId="19" fillId="24" borderId="0" xfId="0" applyNumberFormat="1" applyFont="1" applyFill="1" applyBorder="1" applyAlignment="1" applyProtection="1">
      <alignment/>
      <protection locked="0"/>
    </xf>
    <xf numFmtId="4" fontId="20" fillId="24" borderId="0" xfId="0" applyNumberFormat="1" applyFont="1" applyFill="1" applyBorder="1" applyAlignment="1" applyProtection="1">
      <alignment/>
      <protection locked="0"/>
    </xf>
    <xf numFmtId="9" fontId="20" fillId="24" borderId="0" xfId="0" applyNumberFormat="1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0" xfId="0" applyFont="1" applyFill="1" applyAlignment="1" applyProtection="1">
      <alignment horizontal="right"/>
      <protection locked="0"/>
    </xf>
    <xf numFmtId="0" fontId="25" fillId="24" borderId="0" xfId="0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165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41" fontId="20" fillId="0" borderId="0" xfId="44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67" fontId="20" fillId="0" borderId="0" xfId="0" applyNumberFormat="1" applyFont="1" applyFill="1" applyBorder="1" applyAlignment="1" applyProtection="1">
      <alignment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166" fontId="19" fillId="0" borderId="0" xfId="44" applyNumberFormat="1" applyFont="1" applyFill="1" applyBorder="1" applyAlignment="1" applyProtection="1">
      <alignment/>
      <protection locked="0"/>
    </xf>
    <xf numFmtId="166" fontId="26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66" fontId="20" fillId="0" borderId="0" xfId="44" applyNumberFormat="1" applyFont="1" applyFill="1" applyBorder="1" applyAlignment="1" applyProtection="1">
      <alignment/>
      <protection locked="0"/>
    </xf>
    <xf numFmtId="169" fontId="20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/>
      <protection locked="0"/>
    </xf>
    <xf numFmtId="43" fontId="20" fillId="24" borderId="0" xfId="43" applyFont="1" applyFill="1" applyBorder="1" applyAlignment="1" applyProtection="1">
      <alignment/>
      <protection locked="0"/>
    </xf>
    <xf numFmtId="171" fontId="20" fillId="24" borderId="0" xfId="43" applyNumberFormat="1" applyFont="1" applyFill="1" applyBorder="1" applyAlignment="1" applyProtection="1">
      <alignment/>
      <protection locked="0"/>
    </xf>
    <xf numFmtId="4" fontId="20" fillId="24" borderId="51" xfId="0" applyNumberFormat="1" applyFont="1" applyFill="1" applyBorder="1" applyAlignment="1" applyProtection="1">
      <alignment horizontal="center" vertical="center"/>
      <protection hidden="1"/>
    </xf>
    <xf numFmtId="168" fontId="20" fillId="0" borderId="0" xfId="0" applyNumberFormat="1" applyFont="1" applyFill="1" applyBorder="1" applyAlignment="1" applyProtection="1">
      <alignment/>
      <protection locked="0"/>
    </xf>
    <xf numFmtId="4" fontId="34" fillId="24" borderId="52" xfId="0" applyNumberFormat="1" applyFont="1" applyFill="1" applyBorder="1" applyAlignment="1" applyProtection="1">
      <alignment horizontal="center" vertical="center"/>
      <protection hidden="1"/>
    </xf>
    <xf numFmtId="4" fontId="20" fillId="24" borderId="53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10" fontId="20" fillId="0" borderId="0" xfId="48" applyNumberFormat="1" applyFont="1" applyFill="1" applyBorder="1" applyAlignment="1" applyProtection="1">
      <alignment/>
      <protection locked="0"/>
    </xf>
    <xf numFmtId="166" fontId="19" fillId="0" borderId="0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 locked="0"/>
    </xf>
    <xf numFmtId="0" fontId="20" fillId="0" borderId="0" xfId="43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0" fontId="20" fillId="0" borderId="0" xfId="43" applyNumberFormat="1" applyFont="1" applyFill="1" applyBorder="1" applyAlignment="1" applyProtection="1">
      <alignment/>
      <protection locked="0"/>
    </xf>
    <xf numFmtId="0" fontId="20" fillId="0" borderId="0" xfId="43" applyNumberFormat="1" applyFont="1" applyFill="1" applyBorder="1" applyAlignment="1" applyProtection="1">
      <alignment/>
      <protection locked="0"/>
    </xf>
    <xf numFmtId="43" fontId="20" fillId="0" borderId="0" xfId="43" applyNumberFormat="1" applyFont="1" applyFill="1" applyBorder="1" applyAlignment="1" applyProtection="1">
      <alignment/>
      <protection locked="0"/>
    </xf>
    <xf numFmtId="43" fontId="20" fillId="0" borderId="0" xfId="43" applyFont="1" applyFill="1" applyBorder="1" applyAlignment="1" applyProtection="1">
      <alignment horizontal="center"/>
      <protection locked="0"/>
    </xf>
    <xf numFmtId="43" fontId="19" fillId="0" borderId="0" xfId="43" applyFont="1" applyFill="1" applyBorder="1" applyAlignment="1" applyProtection="1">
      <alignment/>
      <protection locked="0"/>
    </xf>
    <xf numFmtId="171" fontId="20" fillId="0" borderId="0" xfId="43" applyNumberFormat="1" applyFont="1" applyFill="1" applyBorder="1" applyAlignment="1" applyProtection="1">
      <alignment/>
      <protection locked="0"/>
    </xf>
    <xf numFmtId="1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36" fillId="27" borderId="0" xfId="0" applyFont="1" applyFill="1" applyBorder="1" applyAlignment="1" applyProtection="1">
      <alignment/>
      <protection hidden="1"/>
    </xf>
    <xf numFmtId="0" fontId="37" fillId="27" borderId="0" xfId="0" applyFont="1" applyFill="1" applyBorder="1" applyAlignment="1" applyProtection="1">
      <alignment/>
      <protection hidden="1"/>
    </xf>
    <xf numFmtId="0" fontId="37" fillId="27" borderId="0" xfId="0" applyFont="1" applyFill="1" applyBorder="1" applyAlignment="1" applyProtection="1">
      <alignment/>
      <protection hidden="1"/>
    </xf>
    <xf numFmtId="1" fontId="37" fillId="27" borderId="0" xfId="0" applyNumberFormat="1" applyFont="1" applyFill="1" applyBorder="1" applyAlignment="1" applyProtection="1">
      <alignment/>
      <protection hidden="1"/>
    </xf>
    <xf numFmtId="43" fontId="37" fillId="27" borderId="0" xfId="43" applyFont="1" applyFill="1" applyBorder="1" applyAlignment="1" applyProtection="1">
      <alignment/>
      <protection hidden="1"/>
    </xf>
    <xf numFmtId="0" fontId="36" fillId="27" borderId="0" xfId="0" applyFont="1" applyFill="1" applyBorder="1" applyAlignment="1" applyProtection="1">
      <alignment horizontal="left"/>
      <protection hidden="1"/>
    </xf>
    <xf numFmtId="43" fontId="37" fillId="27" borderId="0" xfId="43" applyFont="1" applyFill="1" applyBorder="1" applyAlignment="1" applyProtection="1">
      <alignment/>
      <protection hidden="1"/>
    </xf>
    <xf numFmtId="0" fontId="37" fillId="27" borderId="0" xfId="0" applyFont="1" applyFill="1" applyBorder="1" applyAlignment="1" applyProtection="1">
      <alignment horizontal="center"/>
      <protection hidden="1"/>
    </xf>
    <xf numFmtId="43" fontId="37" fillId="27" borderId="0" xfId="43" applyFont="1" applyFill="1" applyBorder="1" applyAlignment="1" applyProtection="1">
      <alignment horizontal="center"/>
      <protection hidden="1"/>
    </xf>
    <xf numFmtId="0" fontId="38" fillId="27" borderId="0" xfId="0" applyFont="1" applyFill="1" applyBorder="1" applyAlignment="1" applyProtection="1">
      <alignment/>
      <protection hidden="1"/>
    </xf>
    <xf numFmtId="43" fontId="37" fillId="27" borderId="0" xfId="0" applyNumberFormat="1" applyFont="1" applyFill="1" applyBorder="1" applyAlignment="1" applyProtection="1">
      <alignment/>
      <protection hidden="1"/>
    </xf>
    <xf numFmtId="4" fontId="37" fillId="27" borderId="0" xfId="0" applyNumberFormat="1" applyFont="1" applyFill="1" applyBorder="1" applyAlignment="1" applyProtection="1">
      <alignment horizontal="center"/>
      <protection hidden="1"/>
    </xf>
    <xf numFmtId="0" fontId="36" fillId="27" borderId="0" xfId="0" applyFont="1" applyFill="1" applyBorder="1" applyAlignment="1" applyProtection="1">
      <alignment horizontal="center"/>
      <protection hidden="1"/>
    </xf>
    <xf numFmtId="0" fontId="37" fillId="27" borderId="0" xfId="0" applyFont="1" applyFill="1" applyBorder="1" applyAlignment="1" applyProtection="1">
      <alignment horizontal="center"/>
      <protection hidden="1"/>
    </xf>
    <xf numFmtId="9" fontId="37" fillId="27" borderId="0" xfId="0" applyNumberFormat="1" applyFont="1" applyFill="1" applyBorder="1" applyAlignment="1" applyProtection="1">
      <alignment/>
      <protection hidden="1"/>
    </xf>
    <xf numFmtId="10" fontId="37" fillId="27" borderId="0" xfId="0" applyNumberFormat="1" applyFont="1" applyFill="1" applyBorder="1" applyAlignment="1" applyProtection="1">
      <alignment/>
      <protection hidden="1"/>
    </xf>
    <xf numFmtId="2" fontId="37" fillId="27" borderId="0" xfId="0" applyNumberFormat="1" applyFont="1" applyFill="1" applyBorder="1" applyAlignment="1" applyProtection="1">
      <alignment/>
      <protection hidden="1"/>
    </xf>
    <xf numFmtId="172" fontId="37" fillId="27" borderId="0" xfId="0" applyNumberFormat="1" applyFont="1" applyFill="1" applyBorder="1" applyAlignment="1" applyProtection="1">
      <alignment/>
      <protection hidden="1"/>
    </xf>
    <xf numFmtId="166" fontId="37" fillId="27" borderId="0" xfId="44" applyNumberFormat="1" applyFont="1" applyFill="1" applyBorder="1" applyAlignment="1" applyProtection="1">
      <alignment/>
      <protection hidden="1"/>
    </xf>
    <xf numFmtId="168" fontId="37" fillId="27" borderId="0" xfId="0" applyNumberFormat="1" applyFont="1" applyFill="1" applyBorder="1" applyAlignment="1" applyProtection="1">
      <alignment/>
      <protection hidden="1"/>
    </xf>
    <xf numFmtId="0" fontId="37" fillId="27" borderId="0" xfId="0" applyFont="1" applyFill="1" applyBorder="1" applyAlignment="1" applyProtection="1" quotePrefix="1">
      <alignment/>
      <protection hidden="1"/>
    </xf>
    <xf numFmtId="169" fontId="37" fillId="27" borderId="0" xfId="0" applyNumberFormat="1" applyFont="1" applyFill="1" applyBorder="1" applyAlignment="1" applyProtection="1">
      <alignment/>
      <protection hidden="1"/>
    </xf>
    <xf numFmtId="0" fontId="20" fillId="24" borderId="54" xfId="0" applyFont="1" applyFill="1" applyBorder="1" applyAlignment="1" applyProtection="1">
      <alignment horizontal="center" vertical="center"/>
      <protection hidden="1"/>
    </xf>
    <xf numFmtId="4" fontId="20" fillId="24" borderId="10" xfId="0" applyNumberFormat="1" applyFont="1" applyFill="1" applyBorder="1" applyAlignment="1" applyProtection="1">
      <alignment horizontal="center" vertical="center"/>
      <protection hidden="1"/>
    </xf>
    <xf numFmtId="0" fontId="20" fillId="24" borderId="10" xfId="0" applyFont="1" applyFill="1" applyBorder="1" applyAlignment="1" applyProtection="1">
      <alignment horizontal="center" vertical="center"/>
      <protection hidden="1"/>
    </xf>
    <xf numFmtId="4" fontId="19" fillId="24" borderId="10" xfId="0" applyNumberFormat="1" applyFont="1" applyFill="1" applyBorder="1" applyAlignment="1" applyProtection="1">
      <alignment horizontal="center" vertical="center"/>
      <protection hidden="1"/>
    </xf>
    <xf numFmtId="4" fontId="20" fillId="0" borderId="55" xfId="0" applyNumberFormat="1" applyFont="1" applyBorder="1" applyAlignment="1" applyProtection="1">
      <alignment horizontal="center"/>
      <protection hidden="1"/>
    </xf>
    <xf numFmtId="0" fontId="20" fillId="24" borderId="56" xfId="0" applyFont="1" applyFill="1" applyBorder="1" applyAlignment="1" applyProtection="1">
      <alignment/>
      <protection hidden="1"/>
    </xf>
    <xf numFmtId="0" fontId="20" fillId="24" borderId="57" xfId="0" applyFont="1" applyFill="1" applyBorder="1" applyAlignment="1" applyProtection="1">
      <alignment horizontal="center"/>
      <protection hidden="1"/>
    </xf>
    <xf numFmtId="4" fontId="22" fillId="24" borderId="58" xfId="0" applyNumberFormat="1" applyFont="1" applyFill="1" applyBorder="1" applyAlignment="1" applyProtection="1">
      <alignment horizontal="center"/>
      <protection hidden="1"/>
    </xf>
    <xf numFmtId="0" fontId="29" fillId="27" borderId="0" xfId="0" applyFont="1" applyFill="1" applyAlignment="1" applyProtection="1">
      <alignment/>
      <protection locked="0"/>
    </xf>
    <xf numFmtId="1" fontId="29" fillId="27" borderId="0" xfId="0" applyNumberFormat="1" applyFont="1" applyFill="1" applyAlignment="1" applyProtection="1">
      <alignment horizontal="center"/>
      <protection locked="0"/>
    </xf>
    <xf numFmtId="1" fontId="29" fillId="27" borderId="59" xfId="0" applyNumberFormat="1" applyFont="1" applyFill="1" applyBorder="1" applyAlignment="1" applyProtection="1">
      <alignment/>
      <protection locked="0"/>
    </xf>
    <xf numFmtId="1" fontId="29" fillId="27" borderId="60" xfId="0" applyNumberFormat="1" applyFont="1" applyFill="1" applyBorder="1" applyAlignment="1" applyProtection="1">
      <alignment/>
      <protection locked="0"/>
    </xf>
    <xf numFmtId="0" fontId="29" fillId="27" borderId="0" xfId="0" applyFont="1" applyFill="1" applyAlignment="1" applyProtection="1">
      <alignment horizontal="center"/>
      <protection locked="0"/>
    </xf>
    <xf numFmtId="1" fontId="29" fillId="27" borderId="11" xfId="0" applyNumberFormat="1" applyFont="1" applyFill="1" applyBorder="1" applyAlignment="1" applyProtection="1">
      <alignment/>
      <protection locked="0"/>
    </xf>
    <xf numFmtId="165" fontId="29" fillId="27" borderId="0" xfId="0" applyNumberFormat="1" applyFont="1" applyFill="1" applyAlignment="1" applyProtection="1">
      <alignment/>
      <protection locked="0"/>
    </xf>
    <xf numFmtId="2" fontId="29" fillId="27" borderId="0" xfId="0" applyNumberFormat="1" applyFont="1" applyFill="1" applyAlignment="1" applyProtection="1">
      <alignment horizontal="center"/>
      <protection locked="0"/>
    </xf>
    <xf numFmtId="41" fontId="29" fillId="27" borderId="0" xfId="44" applyFont="1" applyFill="1" applyAlignment="1" applyProtection="1">
      <alignment/>
      <protection locked="0"/>
    </xf>
    <xf numFmtId="41" fontId="29" fillId="27" borderId="0" xfId="0" applyNumberFormat="1" applyFont="1" applyFill="1" applyAlignment="1" applyProtection="1">
      <alignment/>
      <protection locked="0"/>
    </xf>
    <xf numFmtId="167" fontId="29" fillId="27" borderId="0" xfId="0" applyNumberFormat="1" applyFont="1" applyFill="1" applyAlignment="1" applyProtection="1">
      <alignment/>
      <protection locked="0"/>
    </xf>
    <xf numFmtId="166" fontId="29" fillId="27" borderId="0" xfId="0" applyNumberFormat="1" applyFont="1" applyFill="1" applyAlignment="1" applyProtection="1">
      <alignment/>
      <protection locked="0"/>
    </xf>
    <xf numFmtId="43" fontId="29" fillId="27" borderId="0" xfId="0" applyNumberFormat="1" applyFont="1" applyFill="1" applyAlignment="1" applyProtection="1">
      <alignment/>
      <protection locked="0"/>
    </xf>
    <xf numFmtId="4" fontId="20" fillId="10" borderId="10" xfId="0" applyNumberFormat="1" applyFont="1" applyFill="1" applyBorder="1" applyAlignment="1" applyProtection="1">
      <alignment horizontal="center" vertical="center"/>
      <protection hidden="1"/>
    </xf>
    <xf numFmtId="0" fontId="29" fillId="27" borderId="0" xfId="0" applyFont="1" applyFill="1" applyBorder="1" applyAlignment="1" applyProtection="1">
      <alignment horizontal="center"/>
      <protection locked="0"/>
    </xf>
    <xf numFmtId="0" fontId="29" fillId="27" borderId="0" xfId="0" applyFont="1" applyFill="1" applyBorder="1" applyAlignment="1" applyProtection="1">
      <alignment/>
      <protection locked="0"/>
    </xf>
    <xf numFmtId="166" fontId="29" fillId="27" borderId="0" xfId="44" applyNumberFormat="1" applyFont="1" applyFill="1" applyBorder="1" applyAlignment="1" applyProtection="1">
      <alignment/>
      <protection locked="0"/>
    </xf>
    <xf numFmtId="166" fontId="29" fillId="27" borderId="0" xfId="44" applyNumberFormat="1" applyFont="1" applyFill="1" applyBorder="1" applyAlignment="1" applyProtection="1">
      <alignment horizontal="center"/>
      <protection locked="0"/>
    </xf>
    <xf numFmtId="41" fontId="29" fillId="27" borderId="0" xfId="0" applyNumberFormat="1" applyFont="1" applyFill="1" applyBorder="1" applyAlignment="1" applyProtection="1">
      <alignment/>
      <protection locked="0"/>
    </xf>
    <xf numFmtId="0" fontId="25" fillId="27" borderId="0" xfId="0" applyFont="1" applyFill="1" applyBorder="1" applyAlignment="1" applyProtection="1">
      <alignment horizontal="center"/>
      <protection locked="0"/>
    </xf>
    <xf numFmtId="1" fontId="29" fillId="27" borderId="0" xfId="0" applyNumberFormat="1" applyFont="1" applyFill="1" applyBorder="1" applyAlignment="1" applyProtection="1">
      <alignment horizontal="center"/>
      <protection locked="0"/>
    </xf>
    <xf numFmtId="166" fontId="29" fillId="27" borderId="0" xfId="44" applyNumberFormat="1" applyFont="1" applyFill="1" applyBorder="1" applyAlignment="1" applyProtection="1">
      <alignment/>
      <protection locked="0"/>
    </xf>
    <xf numFmtId="43" fontId="29" fillId="27" borderId="0" xfId="0" applyNumberFormat="1" applyFont="1" applyFill="1" applyBorder="1" applyAlignment="1" applyProtection="1">
      <alignment/>
      <protection locked="0"/>
    </xf>
    <xf numFmtId="166" fontId="25" fillId="27" borderId="0" xfId="44" applyNumberFormat="1" applyFont="1" applyFill="1" applyBorder="1" applyAlignment="1" applyProtection="1">
      <alignment/>
      <protection locked="0"/>
    </xf>
    <xf numFmtId="2" fontId="29" fillId="27" borderId="0" xfId="0" applyNumberFormat="1" applyFont="1" applyFill="1" applyBorder="1" applyAlignment="1" applyProtection="1">
      <alignment horizontal="center"/>
      <protection locked="0"/>
    </xf>
    <xf numFmtId="168" fontId="29" fillId="27" borderId="0" xfId="0" applyNumberFormat="1" applyFont="1" applyFill="1" applyBorder="1" applyAlignment="1" applyProtection="1">
      <alignment horizontal="center"/>
      <protection locked="0"/>
    </xf>
    <xf numFmtId="0" fontId="25" fillId="27" borderId="0" xfId="0" applyFont="1" applyFill="1" applyBorder="1" applyAlignment="1" applyProtection="1">
      <alignment/>
      <protection locked="0"/>
    </xf>
    <xf numFmtId="166" fontId="25" fillId="27" borderId="0" xfId="44" applyNumberFormat="1" applyFont="1" applyFill="1" applyBorder="1" applyAlignment="1" applyProtection="1">
      <alignment horizontal="center"/>
      <protection locked="0"/>
    </xf>
    <xf numFmtId="10" fontId="29" fillId="27" borderId="0" xfId="48" applyNumberFormat="1" applyFont="1" applyFill="1" applyBorder="1" applyAlignment="1" applyProtection="1">
      <alignment/>
      <protection locked="0"/>
    </xf>
    <xf numFmtId="43" fontId="29" fillId="27" borderId="0" xfId="43" applyFont="1" applyFill="1" applyBorder="1" applyAlignment="1" applyProtection="1">
      <alignment/>
      <protection locked="0"/>
    </xf>
    <xf numFmtId="166" fontId="29" fillId="27" borderId="0" xfId="0" applyNumberFormat="1" applyFont="1" applyFill="1" applyBorder="1" applyAlignment="1" applyProtection="1">
      <alignment/>
      <protection locked="0"/>
    </xf>
    <xf numFmtId="166" fontId="25" fillId="27" borderId="0" xfId="0" applyNumberFormat="1" applyFont="1" applyFill="1" applyBorder="1" applyAlignment="1" applyProtection="1">
      <alignment/>
      <protection locked="0"/>
    </xf>
    <xf numFmtId="4" fontId="29" fillId="27" borderId="0" xfId="0" applyNumberFormat="1" applyFont="1" applyFill="1" applyBorder="1" applyAlignment="1" applyProtection="1">
      <alignment/>
      <protection locked="0"/>
    </xf>
    <xf numFmtId="4" fontId="25" fillId="27" borderId="0" xfId="0" applyNumberFormat="1" applyFont="1" applyFill="1" applyBorder="1" applyAlignment="1" applyProtection="1">
      <alignment/>
      <protection locked="0"/>
    </xf>
    <xf numFmtId="166" fontId="29" fillId="27" borderId="0" xfId="44" applyNumberFormat="1" applyFont="1" applyFill="1" applyAlignment="1" applyProtection="1">
      <alignment horizontal="center"/>
      <protection locked="0"/>
    </xf>
    <xf numFmtId="166" fontId="29" fillId="27" borderId="10" xfId="44" applyNumberFormat="1" applyFont="1" applyFill="1" applyBorder="1" applyAlignment="1" applyProtection="1">
      <alignment/>
      <protection locked="0"/>
    </xf>
    <xf numFmtId="0" fontId="25" fillId="27" borderId="0" xfId="0" applyFont="1" applyFill="1" applyAlignment="1" applyProtection="1">
      <alignment/>
      <protection locked="0"/>
    </xf>
    <xf numFmtId="166" fontId="25" fillId="27" borderId="0" xfId="44" applyNumberFormat="1" applyFont="1" applyFill="1" applyAlignment="1" applyProtection="1">
      <alignment horizontal="center"/>
      <protection locked="0"/>
    </xf>
    <xf numFmtId="166" fontId="29" fillId="27" borderId="0" xfId="0" applyNumberFormat="1" applyFont="1" applyFill="1" applyAlignment="1" applyProtection="1">
      <alignment horizontal="left"/>
      <protection locked="0"/>
    </xf>
    <xf numFmtId="173" fontId="29" fillId="27" borderId="0" xfId="0" applyNumberFormat="1" applyFont="1" applyFill="1" applyAlignment="1" applyProtection="1">
      <alignment horizontal="center"/>
      <protection locked="0"/>
    </xf>
    <xf numFmtId="4" fontId="29" fillId="27" borderId="0" xfId="0" applyNumberFormat="1" applyFont="1" applyFill="1" applyAlignment="1" applyProtection="1">
      <alignment horizontal="center"/>
      <protection locked="0"/>
    </xf>
    <xf numFmtId="164" fontId="29" fillId="27" borderId="0" xfId="0" applyNumberFormat="1" applyFont="1" applyFill="1" applyAlignment="1" applyProtection="1">
      <alignment horizontal="center"/>
      <protection locked="0"/>
    </xf>
    <xf numFmtId="168" fontId="29" fillId="27" borderId="0" xfId="0" applyNumberFormat="1" applyFont="1" applyFill="1" applyAlignment="1" applyProtection="1">
      <alignment horizontal="center"/>
      <protection locked="0"/>
    </xf>
    <xf numFmtId="43" fontId="29" fillId="27" borderId="0" xfId="43" applyFont="1" applyFill="1" applyAlignment="1" applyProtection="1">
      <alignment horizontal="right"/>
      <protection locked="0"/>
    </xf>
    <xf numFmtId="14" fontId="29" fillId="27" borderId="0" xfId="0" applyNumberFormat="1" applyFont="1" applyFill="1" applyAlignment="1" applyProtection="1">
      <alignment horizontal="left"/>
      <protection locked="0"/>
    </xf>
    <xf numFmtId="41" fontId="20" fillId="24" borderId="0" xfId="0" applyNumberFormat="1" applyFont="1" applyFill="1" applyAlignment="1" applyProtection="1">
      <alignment/>
      <protection locked="0"/>
    </xf>
    <xf numFmtId="1" fontId="20" fillId="24" borderId="0" xfId="0" applyNumberFormat="1" applyFont="1" applyFill="1" applyAlignment="1" applyProtection="1">
      <alignment/>
      <protection locked="0"/>
    </xf>
    <xf numFmtId="0" fontId="35" fillId="24" borderId="0" xfId="0" applyFont="1" applyFill="1" applyBorder="1" applyAlignment="1" applyProtection="1">
      <alignment/>
      <protection locked="0"/>
    </xf>
    <xf numFmtId="1" fontId="20" fillId="24" borderId="0" xfId="0" applyNumberFormat="1" applyFont="1" applyFill="1" applyBorder="1" applyAlignment="1" applyProtection="1">
      <alignment/>
      <protection locked="0"/>
    </xf>
    <xf numFmtId="0" fontId="35" fillId="24" borderId="0" xfId="0" applyFont="1" applyFill="1" applyBorder="1" applyAlignment="1" applyProtection="1">
      <alignment horizontal="center"/>
      <protection locked="0"/>
    </xf>
    <xf numFmtId="10" fontId="20" fillId="24" borderId="0" xfId="43" applyNumberFormat="1" applyFont="1" applyFill="1" applyBorder="1" applyAlignment="1" applyProtection="1">
      <alignment horizontal="center"/>
      <protection locked="0"/>
    </xf>
    <xf numFmtId="165" fontId="20" fillId="24" borderId="0" xfId="0" applyNumberFormat="1" applyFont="1" applyFill="1" applyBorder="1" applyAlignment="1" applyProtection="1">
      <alignment/>
      <protection locked="0"/>
    </xf>
    <xf numFmtId="2" fontId="20" fillId="24" borderId="0" xfId="0" applyNumberFormat="1" applyFont="1" applyFill="1" applyBorder="1" applyAlignment="1" applyProtection="1">
      <alignment/>
      <protection locked="0"/>
    </xf>
    <xf numFmtId="41" fontId="20" fillId="24" borderId="0" xfId="44" applyFont="1" applyFill="1" applyBorder="1" applyAlignment="1" applyProtection="1">
      <alignment/>
      <protection locked="0"/>
    </xf>
    <xf numFmtId="41" fontId="20" fillId="24" borderId="0" xfId="0" applyNumberFormat="1" applyFont="1" applyFill="1" applyBorder="1" applyAlignment="1" applyProtection="1">
      <alignment/>
      <protection locked="0"/>
    </xf>
    <xf numFmtId="167" fontId="20" fillId="24" borderId="0" xfId="0" applyNumberFormat="1" applyFont="1" applyFill="1" applyBorder="1" applyAlignment="1" applyProtection="1">
      <alignment/>
      <protection locked="0"/>
    </xf>
    <xf numFmtId="0" fontId="20" fillId="24" borderId="0" xfId="43" applyNumberFormat="1" applyFont="1" applyFill="1" applyBorder="1" applyAlignment="1" applyProtection="1">
      <alignment horizontal="center"/>
      <protection locked="0"/>
    </xf>
    <xf numFmtId="166" fontId="20" fillId="24" borderId="0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/>
      <protection locked="0"/>
    </xf>
    <xf numFmtId="43" fontId="20" fillId="24" borderId="0" xfId="0" applyNumberFormat="1" applyFont="1" applyFill="1" applyBorder="1" applyAlignment="1" applyProtection="1">
      <alignment/>
      <protection locked="0"/>
    </xf>
    <xf numFmtId="166" fontId="19" fillId="24" borderId="0" xfId="44" applyNumberFormat="1" applyFont="1" applyFill="1" applyBorder="1" applyAlignment="1" applyProtection="1">
      <alignment/>
      <protection locked="0"/>
    </xf>
    <xf numFmtId="0" fontId="20" fillId="22" borderId="61" xfId="0" applyFont="1" applyFill="1" applyBorder="1" applyAlignment="1" applyProtection="1">
      <alignment horizontal="center"/>
      <protection locked="0"/>
    </xf>
    <xf numFmtId="0" fontId="20" fillId="22" borderId="28" xfId="0" applyFont="1" applyFill="1" applyBorder="1" applyAlignment="1" applyProtection="1">
      <alignment horizontal="center"/>
      <protection locked="0"/>
    </xf>
    <xf numFmtId="0" fontId="20" fillId="22" borderId="62" xfId="0" applyFont="1" applyFill="1" applyBorder="1" applyAlignment="1" applyProtection="1">
      <alignment horizontal="center"/>
      <protection locked="0"/>
    </xf>
    <xf numFmtId="9" fontId="20" fillId="24" borderId="41" xfId="0" applyNumberFormat="1" applyFont="1" applyFill="1" applyBorder="1" applyAlignment="1" applyProtection="1">
      <alignment horizontal="center"/>
      <protection locked="0"/>
    </xf>
    <xf numFmtId="0" fontId="23" fillId="24" borderId="41" xfId="0" applyFont="1" applyFill="1" applyBorder="1" applyAlignment="1" applyProtection="1">
      <alignment horizontal="center"/>
      <protection locked="0"/>
    </xf>
    <xf numFmtId="0" fontId="20" fillId="24" borderId="49" xfId="0" applyFont="1" applyFill="1" applyBorder="1" applyAlignment="1" applyProtection="1">
      <alignment horizontal="center"/>
      <protection locked="0"/>
    </xf>
    <xf numFmtId="2" fontId="23" fillId="24" borderId="0" xfId="0" applyNumberFormat="1" applyFont="1" applyFill="1" applyBorder="1" applyAlignment="1" applyProtection="1">
      <alignment horizontal="center"/>
      <protection locked="0"/>
    </xf>
    <xf numFmtId="0" fontId="20" fillId="24" borderId="28" xfId="0" applyNumberFormat="1" applyFont="1" applyFill="1" applyBorder="1" applyAlignment="1" applyProtection="1">
      <alignment horizontal="center"/>
      <protection locked="0"/>
    </xf>
    <xf numFmtId="0" fontId="19" fillId="24" borderId="63" xfId="0" applyNumberFormat="1" applyFont="1" applyFill="1" applyBorder="1" applyAlignment="1" applyProtection="1">
      <alignment horizontal="center"/>
      <protection locked="0"/>
    </xf>
    <xf numFmtId="0" fontId="20" fillId="24" borderId="49" xfId="0" applyNumberFormat="1" applyFont="1" applyFill="1" applyBorder="1" applyAlignment="1" applyProtection="1">
      <alignment horizontal="center"/>
      <protection locked="0"/>
    </xf>
    <xf numFmtId="0" fontId="20" fillId="24" borderId="40" xfId="0" applyFont="1" applyFill="1" applyBorder="1" applyAlignment="1" applyProtection="1">
      <alignment/>
      <protection locked="0"/>
    </xf>
    <xf numFmtId="0" fontId="20" fillId="24" borderId="41" xfId="0" applyFont="1" applyFill="1" applyBorder="1" applyAlignment="1" applyProtection="1">
      <alignment/>
      <protection locked="0"/>
    </xf>
    <xf numFmtId="4" fontId="20" fillId="24" borderId="39" xfId="0" applyNumberFormat="1" applyFont="1" applyFill="1" applyBorder="1" applyAlignment="1" applyProtection="1">
      <alignment/>
      <protection locked="0"/>
    </xf>
    <xf numFmtId="4" fontId="20" fillId="0" borderId="27" xfId="0" applyNumberFormat="1" applyFont="1" applyFill="1" applyBorder="1" applyAlignment="1" applyProtection="1">
      <alignment horizontal="center"/>
      <protection locked="0"/>
    </xf>
    <xf numFmtId="0" fontId="21" fillId="24" borderId="46" xfId="0" applyFont="1" applyFill="1" applyBorder="1" applyAlignment="1" applyProtection="1">
      <alignment horizontal="center" vertical="center"/>
      <protection locked="0"/>
    </xf>
    <xf numFmtId="4" fontId="20" fillId="0" borderId="64" xfId="0" applyNumberFormat="1" applyFont="1" applyFill="1" applyBorder="1" applyAlignment="1" applyProtection="1">
      <alignment horizontal="center"/>
      <protection locked="0"/>
    </xf>
    <xf numFmtId="4" fontId="20" fillId="0" borderId="36" xfId="0" applyNumberFormat="1" applyFont="1" applyFill="1" applyBorder="1" applyAlignment="1" applyProtection="1">
      <alignment horizont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9" fillId="5" borderId="65" xfId="0" applyFont="1" applyFill="1" applyBorder="1" applyAlignment="1" applyProtection="1">
      <alignment horizontal="center"/>
      <protection locked="0"/>
    </xf>
    <xf numFmtId="4" fontId="20" fillId="24" borderId="14" xfId="0" applyNumberFormat="1" applyFont="1" applyFill="1" applyBorder="1" applyAlignment="1" applyProtection="1">
      <alignment horizontal="center"/>
      <protection hidden="1"/>
    </xf>
    <xf numFmtId="0" fontId="19" fillId="24" borderId="66" xfId="0" applyNumberFormat="1" applyFont="1" applyFill="1" applyBorder="1" applyAlignment="1" applyProtection="1">
      <alignment horizontal="center"/>
      <protection hidden="1"/>
    </xf>
    <xf numFmtId="4" fontId="20" fillId="24" borderId="22" xfId="0" applyNumberFormat="1" applyFont="1" applyFill="1" applyBorder="1" applyAlignment="1" applyProtection="1">
      <alignment/>
      <protection hidden="1"/>
    </xf>
    <xf numFmtId="0" fontId="20" fillId="24" borderId="46" xfId="0" applyFont="1" applyFill="1" applyBorder="1" applyAlignment="1" applyProtection="1">
      <alignment/>
      <protection hidden="1"/>
    </xf>
    <xf numFmtId="4" fontId="22" fillId="24" borderId="0" xfId="0" applyNumberFormat="1" applyFont="1" applyFill="1" applyBorder="1" applyAlignment="1" applyProtection="1">
      <alignment horizontal="center"/>
      <protection hidden="1"/>
    </xf>
    <xf numFmtId="1" fontId="20" fillId="24" borderId="0" xfId="0" applyNumberFormat="1" applyFont="1" applyFill="1" applyBorder="1" applyAlignment="1" applyProtection="1">
      <alignment horizontal="center"/>
      <protection hidden="1"/>
    </xf>
    <xf numFmtId="0" fontId="20" fillId="24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166" fontId="19" fillId="24" borderId="10" xfId="0" applyNumberFormat="1" applyFont="1" applyFill="1" applyBorder="1" applyAlignment="1" applyProtection="1">
      <alignment horizontal="center" vertical="center"/>
      <protection hidden="1"/>
    </xf>
    <xf numFmtId="0" fontId="22" fillId="10" borderId="0" xfId="0" applyFont="1" applyFill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19" fillId="24" borderId="0" xfId="0" applyFont="1" applyFill="1" applyBorder="1" applyAlignment="1" applyProtection="1">
      <alignment horizontal="center"/>
      <protection hidden="1"/>
    </xf>
    <xf numFmtId="0" fontId="20" fillId="24" borderId="0" xfId="0" applyFont="1" applyFill="1" applyBorder="1" applyAlignment="1" applyProtection="1">
      <alignment horizontal="center"/>
      <protection hidden="1"/>
    </xf>
    <xf numFmtId="0" fontId="20" fillId="24" borderId="67" xfId="0" applyFont="1" applyFill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24" borderId="68" xfId="0" applyFont="1" applyFill="1" applyBorder="1" applyAlignment="1" applyProtection="1">
      <alignment horizontal="center" vertical="center"/>
      <protection hidden="1"/>
    </xf>
    <xf numFmtId="0" fontId="20" fillId="24" borderId="69" xfId="0" applyFont="1" applyFill="1" applyBorder="1" applyAlignment="1" applyProtection="1">
      <alignment horizontal="center" vertical="center"/>
      <protection hidden="1"/>
    </xf>
    <xf numFmtId="0" fontId="20" fillId="24" borderId="70" xfId="0" applyFont="1" applyFill="1" applyBorder="1" applyAlignment="1" applyProtection="1">
      <alignment horizontal="center" vertical="center"/>
      <protection hidden="1"/>
    </xf>
    <xf numFmtId="0" fontId="20" fillId="10" borderId="71" xfId="0" applyFont="1" applyFill="1" applyBorder="1" applyAlignment="1" applyProtection="1">
      <alignment horizontal="center" vertical="center"/>
      <protection locked="0"/>
    </xf>
    <xf numFmtId="0" fontId="20" fillId="10" borderId="72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hidden="1"/>
    </xf>
    <xf numFmtId="0" fontId="21" fillId="7" borderId="41" xfId="0" applyFont="1" applyFill="1" applyBorder="1" applyAlignment="1" applyProtection="1">
      <alignment horizontal="center" vertical="center"/>
      <protection hidden="1"/>
    </xf>
    <xf numFmtId="0" fontId="21" fillId="7" borderId="73" xfId="0" applyFont="1" applyFill="1" applyBorder="1" applyAlignment="1" applyProtection="1">
      <alignment horizontal="center" vertical="center"/>
      <protection hidden="1"/>
    </xf>
    <xf numFmtId="0" fontId="20" fillId="24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hidden="1"/>
    </xf>
    <xf numFmtId="0" fontId="20" fillId="10" borderId="10" xfId="0" applyFont="1" applyFill="1" applyBorder="1" applyAlignment="1" applyProtection="1">
      <alignment horizontal="center" vertical="center"/>
      <protection hidden="1"/>
    </xf>
    <xf numFmtId="4" fontId="19" fillId="24" borderId="74" xfId="0" applyNumberFormat="1" applyFont="1" applyFill="1" applyBorder="1" applyAlignment="1" applyProtection="1">
      <alignment horizontal="center" vertical="center"/>
      <protection hidden="1"/>
    </xf>
    <xf numFmtId="0" fontId="19" fillId="24" borderId="75" xfId="0" applyFont="1" applyFill="1" applyBorder="1" applyAlignment="1" applyProtection="1">
      <alignment horizontal="center" vertical="center"/>
      <protection hidden="1"/>
    </xf>
    <xf numFmtId="0" fontId="31" fillId="24" borderId="67" xfId="0" applyFont="1" applyFill="1" applyBorder="1" applyAlignment="1" applyProtection="1">
      <alignment horizontal="center" vertical="center"/>
      <protection hidden="1"/>
    </xf>
    <xf numFmtId="4" fontId="31" fillId="24" borderId="51" xfId="0" applyNumberFormat="1" applyFont="1" applyFill="1" applyBorder="1" applyAlignment="1" applyProtection="1">
      <alignment horizontal="center" vertical="center"/>
      <protection hidden="1"/>
    </xf>
    <xf numFmtId="4" fontId="20" fillId="0" borderId="30" xfId="0" applyNumberFormat="1" applyFont="1" applyBorder="1" applyAlignment="1" applyProtection="1">
      <alignment horizontal="center" vertical="center"/>
      <protection hidden="1"/>
    </xf>
    <xf numFmtId="0" fontId="29" fillId="24" borderId="50" xfId="0" applyFont="1" applyFill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s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Requisiti"/>
      <sheetName val="Pensione"/>
      <sheetName val="Cedolino"/>
      <sheetName val="DecrINPDAP"/>
      <sheetName val="Dati"/>
      <sheetName val="Modulo1"/>
      <sheetName val="Modulo2"/>
      <sheetName val="Modulo3"/>
      <sheetName val="Modulo4"/>
    </sheetNames>
    <sheetDataSet>
      <sheetData sheetId="2">
        <row r="10">
          <cell r="C10">
            <v>1</v>
          </cell>
        </row>
        <row r="17">
          <cell r="B1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9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8.8515625" style="8" customWidth="1"/>
    <col min="2" max="2" width="9.28125" style="8" customWidth="1"/>
    <col min="3" max="3" width="10.421875" style="8" customWidth="1"/>
    <col min="4" max="4" width="10.8515625" style="8" customWidth="1"/>
    <col min="5" max="5" width="10.00390625" style="8" customWidth="1"/>
    <col min="6" max="6" width="22.00390625" style="8" customWidth="1"/>
    <col min="7" max="7" width="9.28125" style="8" customWidth="1"/>
    <col min="8" max="8" width="11.57421875" style="8" bestFit="1" customWidth="1"/>
    <col min="9" max="9" width="2.57421875" style="8" customWidth="1"/>
    <col min="10" max="10" width="8.7109375" style="8" customWidth="1"/>
    <col min="11" max="11" width="5.421875" style="8" customWidth="1"/>
    <col min="12" max="12" width="11.00390625" style="8" customWidth="1"/>
    <col min="13" max="13" width="9.421875" style="8" customWidth="1"/>
    <col min="14" max="14" width="7.28125" style="8" customWidth="1"/>
    <col min="15" max="15" width="9.7109375" style="8" customWidth="1"/>
    <col min="16" max="16" width="12.00390625" style="8" customWidth="1"/>
    <col min="17" max="77" width="9.140625" style="8" customWidth="1"/>
    <col min="78" max="78" width="0.13671875" style="8" customWidth="1"/>
    <col min="79" max="79" width="9.140625" style="8" customWidth="1"/>
    <col min="80" max="80" width="0.13671875" style="8" customWidth="1"/>
    <col min="81" max="81" width="53.8515625" style="8" hidden="1" customWidth="1"/>
    <col min="82" max="82" width="0.13671875" style="8" customWidth="1"/>
    <col min="83" max="83" width="10.28125" style="8" hidden="1" customWidth="1"/>
    <col min="84" max="84" width="12.28125" style="8" hidden="1" customWidth="1"/>
    <col min="85" max="85" width="12.8515625" style="8" hidden="1" customWidth="1"/>
    <col min="86" max="87" width="11.57421875" style="8" hidden="1" customWidth="1"/>
    <col min="88" max="91" width="9.140625" style="8" hidden="1" customWidth="1"/>
    <col min="92" max="101" width="9.140625" style="8" customWidth="1"/>
    <col min="102" max="102" width="43.57421875" style="8" customWidth="1"/>
    <col min="103" max="105" width="9.140625" style="8" customWidth="1"/>
    <col min="106" max="106" width="12.00390625" style="8" customWidth="1"/>
    <col min="107" max="129" width="9.140625" style="8" customWidth="1"/>
    <col min="130" max="130" width="25.57421875" style="8" customWidth="1"/>
    <col min="131" max="131" width="9.140625" style="8" customWidth="1"/>
    <col min="132" max="132" width="15.28125" style="8" customWidth="1"/>
    <col min="133" max="137" width="9.140625" style="8" customWidth="1"/>
    <col min="138" max="138" width="11.8515625" style="8" customWidth="1"/>
    <col min="139" max="16384" width="9.140625" style="8" customWidth="1"/>
  </cols>
  <sheetData>
    <row r="1" spans="1:130" ht="15" customHeight="1">
      <c r="A1" s="273" t="s">
        <v>96</v>
      </c>
      <c r="B1" s="273"/>
      <c r="C1" s="273"/>
      <c r="D1" s="273"/>
      <c r="E1" s="96"/>
      <c r="F1" s="71"/>
      <c r="G1" s="71"/>
      <c r="H1" s="71"/>
      <c r="J1" s="291"/>
      <c r="K1" s="291"/>
      <c r="CX1" s="127"/>
      <c r="CY1" s="127"/>
      <c r="CZ1" s="127"/>
      <c r="DA1" s="1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</row>
    <row r="2" spans="1:130" ht="12.75" customHeight="1">
      <c r="A2" s="28"/>
      <c r="B2" s="29"/>
      <c r="C2" s="29"/>
      <c r="D2" s="29"/>
      <c r="E2" s="90"/>
      <c r="F2" s="28"/>
      <c r="G2" s="28"/>
      <c r="H2" s="28"/>
      <c r="I2" s="291"/>
      <c r="J2" s="276" t="s">
        <v>51</v>
      </c>
      <c r="K2" s="276"/>
      <c r="L2" s="89"/>
      <c r="M2" s="89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120"/>
      <c r="DO2" s="27"/>
      <c r="DP2" s="27"/>
      <c r="DQ2" s="27"/>
      <c r="DR2" s="120"/>
      <c r="DS2" s="120"/>
      <c r="DT2" s="120"/>
      <c r="DU2" s="27"/>
      <c r="DV2" s="120"/>
      <c r="DW2" s="120"/>
      <c r="DX2" s="120"/>
      <c r="DY2" s="120"/>
      <c r="DZ2" s="128"/>
    </row>
    <row r="3" spans="1:130" ht="12">
      <c r="A3" s="9" t="s">
        <v>127</v>
      </c>
      <c r="B3" s="248" t="s">
        <v>0</v>
      </c>
      <c r="C3" s="249" t="s">
        <v>25</v>
      </c>
      <c r="D3" s="250" t="s">
        <v>26</v>
      </c>
      <c r="E3" s="10"/>
      <c r="F3" s="270"/>
      <c r="G3" s="270"/>
      <c r="H3" s="270"/>
      <c r="I3" s="292"/>
      <c r="J3" s="90"/>
      <c r="K3" s="90"/>
      <c r="L3" s="10"/>
      <c r="M3" s="10"/>
      <c r="O3" s="10"/>
      <c r="CX3" s="27"/>
      <c r="CY3" s="27"/>
      <c r="CZ3" s="129"/>
      <c r="DA3" s="120"/>
      <c r="DB3" s="27"/>
      <c r="DC3" s="27"/>
      <c r="DD3" s="27"/>
      <c r="DE3" s="27"/>
      <c r="DF3" s="27"/>
      <c r="DG3" s="27"/>
      <c r="DH3" s="27"/>
      <c r="DI3" s="27"/>
      <c r="DJ3" s="120"/>
      <c r="DK3" s="27"/>
      <c r="DL3" s="27"/>
      <c r="DM3" s="27"/>
      <c r="DN3" s="120"/>
      <c r="DO3" s="27"/>
      <c r="DP3" s="27"/>
      <c r="DQ3" s="27"/>
      <c r="DR3" s="120"/>
      <c r="DS3" s="120"/>
      <c r="DT3" s="120"/>
      <c r="DU3" s="27"/>
      <c r="DV3" s="120"/>
      <c r="DW3" s="120"/>
      <c r="DX3" s="120"/>
      <c r="DY3" s="120"/>
      <c r="DZ3" s="128"/>
    </row>
    <row r="4" spans="1:138" ht="12">
      <c r="A4" s="91" t="s">
        <v>109</v>
      </c>
      <c r="B4" s="11">
        <v>35</v>
      </c>
      <c r="C4" s="12">
        <v>7</v>
      </c>
      <c r="D4" s="13">
        <v>0</v>
      </c>
      <c r="E4" s="92"/>
      <c r="F4" s="288" t="s">
        <v>118</v>
      </c>
      <c r="G4" s="289"/>
      <c r="H4" s="290"/>
      <c r="I4" s="4"/>
      <c r="J4" s="4"/>
      <c r="K4" s="4"/>
      <c r="L4" s="4"/>
      <c r="M4" s="4"/>
      <c r="N4" s="10"/>
      <c r="O4" s="4"/>
      <c r="CX4" s="27"/>
      <c r="CY4" s="27"/>
      <c r="CZ4" s="116"/>
      <c r="DA4" s="27"/>
      <c r="DB4" s="130"/>
      <c r="DC4" s="27"/>
      <c r="DD4" s="27"/>
      <c r="DE4" s="27"/>
      <c r="DF4" s="27"/>
      <c r="DG4" s="27"/>
      <c r="DH4" s="27"/>
      <c r="DI4" s="27"/>
      <c r="DJ4" s="131"/>
      <c r="DK4" s="27"/>
      <c r="DL4" s="27"/>
      <c r="DM4" s="27"/>
      <c r="DN4" s="131"/>
      <c r="DO4" s="27"/>
      <c r="DP4" s="27"/>
      <c r="DQ4" s="27"/>
      <c r="DR4" s="131"/>
      <c r="DS4" s="131"/>
      <c r="DT4" s="131"/>
      <c r="DU4" s="27"/>
      <c r="DV4" s="27"/>
      <c r="DW4" s="27"/>
      <c r="DX4" s="27"/>
      <c r="DY4" s="27"/>
      <c r="DZ4" s="132"/>
      <c r="EE4" s="8" t="s">
        <v>101</v>
      </c>
      <c r="EG4" s="8" t="s">
        <v>102</v>
      </c>
      <c r="EH4" s="93">
        <f>CG58</f>
        <v>19415.500786426062</v>
      </c>
    </row>
    <row r="5" spans="1:136" ht="12">
      <c r="A5" s="30" t="s">
        <v>27</v>
      </c>
      <c r="B5" s="40">
        <f>CE41</f>
        <v>16</v>
      </c>
      <c r="C5" s="40">
        <f>CE40</f>
        <v>10</v>
      </c>
      <c r="D5" s="40">
        <v>0</v>
      </c>
      <c r="E5" s="94"/>
      <c r="F5" s="251"/>
      <c r="G5" s="4"/>
      <c r="H5" s="252"/>
      <c r="I5" s="94"/>
      <c r="J5" s="94"/>
      <c r="K5" s="94"/>
      <c r="L5" s="94"/>
      <c r="M5" s="94"/>
      <c r="N5" s="95"/>
      <c r="O5" s="94"/>
      <c r="CX5" s="27"/>
      <c r="CY5" s="27"/>
      <c r="CZ5" s="27"/>
      <c r="DA5" s="27"/>
      <c r="DB5" s="130"/>
      <c r="DC5" s="27"/>
      <c r="DD5" s="124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133"/>
      <c r="DW5" s="133"/>
      <c r="DX5" s="133"/>
      <c r="DY5" s="133"/>
      <c r="DZ5" s="134"/>
      <c r="EE5" s="96" t="s">
        <v>100</v>
      </c>
      <c r="EF5" s="96"/>
    </row>
    <row r="6" spans="1:138" ht="12">
      <c r="A6" s="31"/>
      <c r="B6" s="41"/>
      <c r="C6" s="41"/>
      <c r="D6" s="41"/>
      <c r="E6" s="97"/>
      <c r="F6" s="64" t="s">
        <v>117</v>
      </c>
      <c r="G6" s="253"/>
      <c r="H6" s="65">
        <f>B10</f>
        <v>17922.000781076367</v>
      </c>
      <c r="I6" s="254"/>
      <c r="J6" s="63"/>
      <c r="K6" s="63"/>
      <c r="L6" s="63"/>
      <c r="M6" s="94"/>
      <c r="N6" s="95"/>
      <c r="O6" s="94"/>
      <c r="CX6" s="27"/>
      <c r="CY6" s="27"/>
      <c r="CZ6" s="27"/>
      <c r="DA6" s="27"/>
      <c r="DB6" s="130"/>
      <c r="DC6" s="27"/>
      <c r="DD6" s="124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120"/>
      <c r="DS6" s="27"/>
      <c r="DT6" s="27"/>
      <c r="DU6" s="27"/>
      <c r="DV6" s="27"/>
      <c r="DW6" s="27"/>
      <c r="DX6" s="27"/>
      <c r="DY6" s="27"/>
      <c r="DZ6" s="132"/>
      <c r="EB6" s="98">
        <f>ROUND(B10/12,0)</f>
        <v>1494</v>
      </c>
      <c r="ED6" s="96">
        <v>15</v>
      </c>
      <c r="EE6" s="99">
        <v>7500</v>
      </c>
      <c r="EF6" s="99">
        <v>1725</v>
      </c>
      <c r="EG6" s="135">
        <v>0</v>
      </c>
      <c r="EH6" s="135">
        <f>EF6+EG6</f>
        <v>1725</v>
      </c>
    </row>
    <row r="7" spans="1:138" ht="12">
      <c r="A7" s="32" t="s">
        <v>112</v>
      </c>
      <c r="B7" s="14">
        <v>35</v>
      </c>
      <c r="C7" s="267" t="s">
        <v>31</v>
      </c>
      <c r="D7" s="268">
        <v>2011</v>
      </c>
      <c r="E7" s="100"/>
      <c r="F7" s="66"/>
      <c r="G7" s="15"/>
      <c r="H7" s="67"/>
      <c r="I7" s="15"/>
      <c r="J7" s="271"/>
      <c r="K7" s="272"/>
      <c r="L7" s="42"/>
      <c r="M7" s="15"/>
      <c r="N7" s="101"/>
      <c r="O7" s="15"/>
      <c r="P7" s="98"/>
      <c r="CX7" s="27"/>
      <c r="CY7" s="27"/>
      <c r="CZ7" s="27"/>
      <c r="DA7" s="27"/>
      <c r="DB7" s="130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120"/>
      <c r="DS7" s="27"/>
      <c r="DT7" s="27"/>
      <c r="DU7" s="27"/>
      <c r="DV7" s="27"/>
      <c r="DW7" s="133"/>
      <c r="DX7" s="27"/>
      <c r="DY7" s="27"/>
      <c r="DZ7" s="27"/>
      <c r="EB7" s="98">
        <f>ROUND(D24/12,0)</f>
        <v>353</v>
      </c>
      <c r="ED7" s="96">
        <v>21</v>
      </c>
      <c r="EE7" s="99">
        <v>15000</v>
      </c>
      <c r="EF7" s="99">
        <v>1255</v>
      </c>
      <c r="EG7" s="135">
        <f>470*(15000-CG58)/7500</f>
        <v>-276.7047159493666</v>
      </c>
      <c r="EH7" s="135">
        <f>EF7+EG7</f>
        <v>978.2952840506334</v>
      </c>
    </row>
    <row r="8" spans="1:138" ht="12">
      <c r="A8" s="43"/>
      <c r="B8" s="255"/>
      <c r="C8" s="15"/>
      <c r="D8" s="256"/>
      <c r="E8" s="100"/>
      <c r="F8" s="68" t="s">
        <v>48</v>
      </c>
      <c r="G8" s="257"/>
      <c r="H8" s="69">
        <f>C10</f>
        <v>1494</v>
      </c>
      <c r="I8" s="15"/>
      <c r="J8" s="271"/>
      <c r="K8" s="272"/>
      <c r="L8" s="42"/>
      <c r="M8" s="15"/>
      <c r="N8" s="101"/>
      <c r="O8" s="15"/>
      <c r="P8" s="98"/>
      <c r="CX8" s="27"/>
      <c r="CY8" s="27"/>
      <c r="CZ8" s="27"/>
      <c r="DA8" s="27"/>
      <c r="DB8" s="130"/>
      <c r="DC8" s="27"/>
      <c r="DD8" s="27"/>
      <c r="DE8" s="124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120"/>
      <c r="DS8" s="27"/>
      <c r="DT8" s="27"/>
      <c r="DU8" s="27"/>
      <c r="DV8" s="27"/>
      <c r="DW8" s="27"/>
      <c r="DX8" s="27"/>
      <c r="DY8" s="27"/>
      <c r="DZ8" s="27"/>
      <c r="EB8" s="98">
        <f>B15/12</f>
        <v>7.75311111111111</v>
      </c>
      <c r="ED8" s="96">
        <v>28</v>
      </c>
      <c r="EE8" s="99">
        <v>55000</v>
      </c>
      <c r="EF8" s="99">
        <v>1255</v>
      </c>
      <c r="EG8" s="136">
        <f>ROUND((55000-CG58)/40000,4)</f>
        <v>0.8896</v>
      </c>
      <c r="EH8" s="135">
        <f>IF(EG8&gt;1,EF8,EF8*EG8)</f>
        <v>1116.4479999999999</v>
      </c>
    </row>
    <row r="9" spans="1:136" ht="12">
      <c r="A9" s="300" t="s">
        <v>141</v>
      </c>
      <c r="B9" s="301"/>
      <c r="C9" s="297" t="s">
        <v>93</v>
      </c>
      <c r="D9" s="282"/>
      <c r="E9" s="102"/>
      <c r="F9" s="70"/>
      <c r="H9" s="259"/>
      <c r="J9" s="71"/>
      <c r="K9" s="71"/>
      <c r="L9" s="71"/>
      <c r="CX9" s="27"/>
      <c r="CY9" s="27"/>
      <c r="CZ9" s="27"/>
      <c r="DA9" s="27"/>
      <c r="DB9" s="130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131"/>
      <c r="DS9" s="27"/>
      <c r="DT9" s="27"/>
      <c r="DU9" s="27"/>
      <c r="DV9" s="27"/>
      <c r="DW9" s="27"/>
      <c r="DX9" s="27"/>
      <c r="DY9" s="27"/>
      <c r="DZ9" s="27"/>
      <c r="ED9" s="96">
        <v>35</v>
      </c>
      <c r="EF9" s="103">
        <f>IF(EH4&gt;EE8,0,IF(EH4&gt;EE7,EH8,IF(EH8&gt;7500,EH7,EH6)))</f>
        <v>1116.4479999999999</v>
      </c>
    </row>
    <row r="10" spans="1:136" ht="12">
      <c r="A10" s="33" t="s">
        <v>28</v>
      </c>
      <c r="B10" s="34">
        <f>CG84</f>
        <v>17922.000781076367</v>
      </c>
      <c r="C10" s="298">
        <f>EB6</f>
        <v>1494</v>
      </c>
      <c r="D10" s="299"/>
      <c r="E10" s="102"/>
      <c r="F10" s="72" t="s">
        <v>134</v>
      </c>
      <c r="G10" s="258"/>
      <c r="H10" s="260">
        <v>0</v>
      </c>
      <c r="I10" s="10"/>
      <c r="J10" s="73"/>
      <c r="K10" s="73"/>
      <c r="L10" s="73"/>
      <c r="CX10" s="27"/>
      <c r="CY10" s="27"/>
      <c r="CZ10" s="27"/>
      <c r="DA10" s="27"/>
      <c r="DB10" s="125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F10" s="104">
        <f>EF9/12</f>
        <v>93.03733333333332</v>
      </c>
    </row>
    <row r="11" spans="1:130" ht="12">
      <c r="A11" s="35" t="s">
        <v>123</v>
      </c>
      <c r="B11" s="261">
        <v>0</v>
      </c>
      <c r="C11" s="137" t="s">
        <v>49</v>
      </c>
      <c r="D11" s="44">
        <f>EB7</f>
        <v>353</v>
      </c>
      <c r="E11" s="105"/>
      <c r="F11" s="74"/>
      <c r="G11" s="106"/>
      <c r="H11" s="262"/>
      <c r="I11" s="106"/>
      <c r="J11" s="75"/>
      <c r="K11" s="75"/>
      <c r="L11" s="75"/>
      <c r="CX11" s="27"/>
      <c r="CY11" s="27"/>
      <c r="CZ11" s="118"/>
      <c r="DA11" s="138"/>
      <c r="DB11" s="125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</row>
    <row r="12" spans="1:130" ht="12.75" thickBot="1">
      <c r="A12" s="36" t="s">
        <v>121</v>
      </c>
      <c r="B12" s="263">
        <v>0</v>
      </c>
      <c r="C12" s="139" t="s">
        <v>98</v>
      </c>
      <c r="D12" s="140">
        <f>D34</f>
        <v>93.03733333333332</v>
      </c>
      <c r="E12" s="105"/>
      <c r="F12" s="76" t="s">
        <v>113</v>
      </c>
      <c r="G12" s="102"/>
      <c r="H12" s="69">
        <f>D15</f>
        <v>260</v>
      </c>
      <c r="I12" s="71"/>
      <c r="J12" s="71"/>
      <c r="K12" s="71"/>
      <c r="L12" s="71"/>
      <c r="CX12" s="27"/>
      <c r="CY12" s="27"/>
      <c r="CZ12" s="27"/>
      <c r="DA12" s="27"/>
      <c r="DB12" s="130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</row>
    <row r="13" spans="1:134" ht="12.75" thickBot="1">
      <c r="A13" s="37" t="s">
        <v>122</v>
      </c>
      <c r="B13" s="264">
        <v>0</v>
      </c>
      <c r="C13" s="286">
        <v>2011</v>
      </c>
      <c r="D13" s="287"/>
      <c r="E13" s="102"/>
      <c r="F13" s="70"/>
      <c r="H13" s="77"/>
      <c r="I13" s="71"/>
      <c r="J13" s="71"/>
      <c r="K13" s="71"/>
      <c r="L13" s="71"/>
      <c r="CX13" s="27"/>
      <c r="CY13" s="27"/>
      <c r="CZ13" s="118"/>
      <c r="DA13" s="138"/>
      <c r="DB13" s="130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B13" s="96" t="s">
        <v>124</v>
      </c>
      <c r="ED13" s="98">
        <f>B11</f>
        <v>0</v>
      </c>
    </row>
    <row r="14" spans="1:134" ht="12">
      <c r="A14" s="38" t="s">
        <v>133</v>
      </c>
      <c r="B14" s="39" t="s">
        <v>95</v>
      </c>
      <c r="C14" s="295">
        <f>ROUND(C10-D15,0)</f>
        <v>1234</v>
      </c>
      <c r="D14" s="296"/>
      <c r="E14" s="10"/>
      <c r="F14" s="78" t="s">
        <v>125</v>
      </c>
      <c r="G14" s="10"/>
      <c r="H14" s="200">
        <f>C14-H10</f>
        <v>1234</v>
      </c>
      <c r="I14" s="71"/>
      <c r="J14" s="71"/>
      <c r="K14" s="71"/>
      <c r="L14" s="71"/>
      <c r="CX14" s="141"/>
      <c r="CY14" s="27"/>
      <c r="CZ14" s="27"/>
      <c r="DA14" s="141"/>
      <c r="DB14" s="125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B14" s="96" t="s">
        <v>29</v>
      </c>
      <c r="ED14" s="98">
        <f>B12</f>
        <v>0</v>
      </c>
    </row>
    <row r="15" spans="1:134" ht="12.75" thickBot="1">
      <c r="A15" s="184" t="s">
        <v>103</v>
      </c>
      <c r="B15" s="183">
        <f>EF10</f>
        <v>93.03733333333332</v>
      </c>
      <c r="C15" s="185" t="s">
        <v>97</v>
      </c>
      <c r="D15" s="186">
        <f>ROUND(D11-D12,0)</f>
        <v>260</v>
      </c>
      <c r="E15" s="107"/>
      <c r="F15" s="79" t="s">
        <v>126</v>
      </c>
      <c r="G15" s="10"/>
      <c r="H15" s="294"/>
      <c r="I15" s="73"/>
      <c r="J15" s="71"/>
      <c r="K15" s="71"/>
      <c r="L15" s="71"/>
      <c r="CX15" s="27"/>
      <c r="CY15" s="27"/>
      <c r="CZ15" s="27"/>
      <c r="DA15" s="27"/>
      <c r="DB15" s="125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B15" s="96" t="s">
        <v>30</v>
      </c>
      <c r="ED15" s="98">
        <f>B13</f>
        <v>0</v>
      </c>
    </row>
    <row r="16" spans="1:134" ht="12">
      <c r="A16" s="181" t="s">
        <v>184</v>
      </c>
      <c r="B16" s="182">
        <f>SUM(B11:B13)</f>
        <v>0</v>
      </c>
      <c r="C16" s="179"/>
      <c r="D16" s="179"/>
      <c r="E16" s="102"/>
      <c r="F16" s="72"/>
      <c r="G16" s="4"/>
      <c r="H16" s="279"/>
      <c r="I16" s="280"/>
      <c r="J16" s="71"/>
      <c r="K16" s="71"/>
      <c r="L16" s="71"/>
      <c r="CX16" s="27"/>
      <c r="CY16" s="27"/>
      <c r="CZ16" s="118"/>
      <c r="DA16" s="138"/>
      <c r="DB16" s="130"/>
      <c r="DC16" s="142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B16" s="96" t="s">
        <v>120</v>
      </c>
      <c r="ED16" s="108">
        <f>SUM(ED13:ED15)</f>
        <v>0</v>
      </c>
    </row>
    <row r="17" spans="1:130" ht="12">
      <c r="A17" s="28"/>
      <c r="B17" s="283" t="s">
        <v>140</v>
      </c>
      <c r="C17" s="284"/>
      <c r="D17" s="285"/>
      <c r="E17" s="102"/>
      <c r="F17" s="80" t="s">
        <v>114</v>
      </c>
      <c r="G17" s="4"/>
      <c r="H17" s="81"/>
      <c r="I17" s="62"/>
      <c r="J17" s="71"/>
      <c r="K17" s="71"/>
      <c r="L17" s="71"/>
      <c r="CX17" s="27"/>
      <c r="CY17" s="27"/>
      <c r="CZ17" s="118"/>
      <c r="DA17" s="138"/>
      <c r="DB17" s="130"/>
      <c r="DC17" s="142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</row>
    <row r="18" spans="1:130" ht="12">
      <c r="A18" s="48" t="s">
        <v>2</v>
      </c>
      <c r="B18" s="45" t="s">
        <v>3</v>
      </c>
      <c r="C18" s="46" t="s">
        <v>4</v>
      </c>
      <c r="D18" s="47" t="s">
        <v>5</v>
      </c>
      <c r="E18" s="105"/>
      <c r="F18" s="82" t="s">
        <v>49</v>
      </c>
      <c r="G18" s="100"/>
      <c r="H18" s="83">
        <f>D11</f>
        <v>353</v>
      </c>
      <c r="I18" s="62"/>
      <c r="J18" s="71"/>
      <c r="K18" s="71"/>
      <c r="L18" s="71"/>
      <c r="CX18" s="27"/>
      <c r="CY18" s="27"/>
      <c r="CZ18" s="118"/>
      <c r="DA18" s="138"/>
      <c r="DB18" s="130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</row>
    <row r="19" spans="1:130" ht="12">
      <c r="A19" s="49">
        <f>B10</f>
        <v>17922.000781076367</v>
      </c>
      <c r="B19" s="1">
        <v>15000</v>
      </c>
      <c r="C19" s="2">
        <v>0.23</v>
      </c>
      <c r="D19" s="1">
        <f>IF($A$19="","",IF($A$19&gt;$B$19,$B$19*$C$19,$A$19*$C$19))</f>
        <v>3450</v>
      </c>
      <c r="E19" s="105"/>
      <c r="F19" s="70"/>
      <c r="H19" s="84"/>
      <c r="I19" s="71"/>
      <c r="J19" s="71"/>
      <c r="K19" s="71"/>
      <c r="L19" s="71"/>
      <c r="CX19" s="27"/>
      <c r="CY19" s="141"/>
      <c r="CZ19" s="141"/>
      <c r="DA19" s="141"/>
      <c r="DB19" s="130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</row>
    <row r="20" spans="1:130" ht="12">
      <c r="A20" s="50" t="s">
        <v>1</v>
      </c>
      <c r="B20" s="1">
        <v>28000</v>
      </c>
      <c r="C20" s="2">
        <v>0.27</v>
      </c>
      <c r="D20" s="1">
        <f>IF($A$19="","",IF($A$19&lt;$B$19,"",IF($A$19&gt;$B$20,($B$20-$B$19)*C20,($A$19-$B$19)*C20)))</f>
        <v>788.9402108906193</v>
      </c>
      <c r="E20" s="102"/>
      <c r="F20" s="76" t="s">
        <v>115</v>
      </c>
      <c r="G20" s="102"/>
      <c r="H20" s="85">
        <f>D33</f>
        <v>0</v>
      </c>
      <c r="I20" s="71"/>
      <c r="J20" s="71"/>
      <c r="K20" s="71"/>
      <c r="L20" s="71"/>
      <c r="CX20" s="27"/>
      <c r="CY20" s="27"/>
      <c r="CZ20" s="27"/>
      <c r="DA20" s="27"/>
      <c r="DB20" s="130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</row>
    <row r="21" spans="1:130" ht="12">
      <c r="A21" s="51" t="s">
        <v>33</v>
      </c>
      <c r="B21" s="1">
        <v>55000</v>
      </c>
      <c r="C21" s="2">
        <v>0.38</v>
      </c>
      <c r="D21" s="1">
        <f>IF($A$19="","",IF($A$19&gt;$B$20,IF($A$19&lt;=$B$21,($A$19-$B$20)*$C$21,IF($A$19&gt;$B$21,($B$21-$B$20)*$C$21)),""))</f>
      </c>
      <c r="E21" s="102"/>
      <c r="F21" s="86"/>
      <c r="H21" s="84"/>
      <c r="I21" s="71"/>
      <c r="J21" s="71"/>
      <c r="K21" s="71"/>
      <c r="L21" s="71"/>
      <c r="CX21" s="27"/>
      <c r="CY21" s="27"/>
      <c r="CZ21" s="27"/>
      <c r="DA21" s="27"/>
      <c r="DB21" s="130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</row>
    <row r="22" spans="1:130" ht="12">
      <c r="A22" s="51" t="s">
        <v>94</v>
      </c>
      <c r="B22" s="1">
        <v>75000</v>
      </c>
      <c r="C22" s="2">
        <v>0.41</v>
      </c>
      <c r="D22" s="1">
        <f>IF($A$19="","",IF($A$19&lt;=$B$21,"",IF($A$19&gt;$B$22,($B$22-$B$21)*C22,($A$19-$B$21)*$C$22)))</f>
      </c>
      <c r="E22" s="105"/>
      <c r="F22" s="87" t="s">
        <v>116</v>
      </c>
      <c r="G22" s="258"/>
      <c r="H22" s="88">
        <f>B15</f>
        <v>93.03733333333332</v>
      </c>
      <c r="I22" s="71"/>
      <c r="J22" s="71"/>
      <c r="K22" s="71"/>
      <c r="L22" s="71"/>
      <c r="CX22" s="27"/>
      <c r="CY22" s="27"/>
      <c r="CZ22" s="27"/>
      <c r="DA22" s="143"/>
      <c r="DB22" s="130"/>
      <c r="DC22" s="27"/>
      <c r="DD22" s="27"/>
      <c r="DE22" s="103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</row>
    <row r="23" spans="1:130" ht="12">
      <c r="A23" s="52" t="s">
        <v>34</v>
      </c>
      <c r="B23" s="1">
        <v>75001</v>
      </c>
      <c r="C23" s="2">
        <v>0.43</v>
      </c>
      <c r="D23" s="1">
        <f>IF($A$19="","",IF($A$19&lt;=$B$22,"",IF($A$19&gt;$B$22,($A$19-$B$22)*$C$23)))</f>
      </c>
      <c r="F23" s="10"/>
      <c r="J23" s="71"/>
      <c r="K23" s="71"/>
      <c r="L23" s="71"/>
      <c r="M23" s="109"/>
      <c r="N23" s="109"/>
      <c r="O23" s="109"/>
      <c r="P23" s="109"/>
      <c r="CX23" s="27"/>
      <c r="CY23" s="27"/>
      <c r="CZ23" s="27"/>
      <c r="DA23" s="27"/>
      <c r="DB23" s="130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</row>
    <row r="24" spans="1:130" ht="12">
      <c r="A24" s="53" t="s">
        <v>35</v>
      </c>
      <c r="B24" s="277" t="s">
        <v>6</v>
      </c>
      <c r="C24" s="278"/>
      <c r="D24" s="3">
        <f>SUM(D19:D23)</f>
        <v>4238.94021089062</v>
      </c>
      <c r="J24" s="273"/>
      <c r="K24" s="273"/>
      <c r="L24" s="273"/>
      <c r="M24" s="110"/>
      <c r="N24" s="111"/>
      <c r="O24" s="112"/>
      <c r="P24" s="111"/>
      <c r="CX24" s="27"/>
      <c r="CY24" s="27"/>
      <c r="CZ24" s="118"/>
      <c r="DA24" s="138"/>
      <c r="DB24" s="130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</row>
    <row r="25" spans="1:130" ht="12.75" thickBot="1">
      <c r="A25" s="54" t="s">
        <v>32</v>
      </c>
      <c r="B25" s="265" t="s">
        <v>111</v>
      </c>
      <c r="C25" s="265" t="s">
        <v>110</v>
      </c>
      <c r="D25" s="266" t="s">
        <v>36</v>
      </c>
      <c r="F25" s="273" t="s">
        <v>128</v>
      </c>
      <c r="G25" s="273"/>
      <c r="H25" s="273"/>
      <c r="J25" s="302" t="s">
        <v>135</v>
      </c>
      <c r="K25" s="302"/>
      <c r="L25" s="302"/>
      <c r="M25" s="113"/>
      <c r="N25" s="111"/>
      <c r="O25" s="112"/>
      <c r="P25" s="111"/>
      <c r="CX25" s="27"/>
      <c r="CY25" s="142"/>
      <c r="CZ25" s="142"/>
      <c r="DA25" s="142"/>
      <c r="DB25" s="123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</row>
    <row r="26" spans="1:130" ht="12">
      <c r="A26" s="55" t="s">
        <v>38</v>
      </c>
      <c r="B26" s="16">
        <v>0</v>
      </c>
      <c r="C26" s="17">
        <v>0</v>
      </c>
      <c r="D26" s="18">
        <v>0</v>
      </c>
      <c r="E26" s="114"/>
      <c r="F26" s="273" t="s">
        <v>129</v>
      </c>
      <c r="G26" s="273"/>
      <c r="H26" s="273"/>
      <c r="J26" s="273" t="s">
        <v>136</v>
      </c>
      <c r="K26" s="273"/>
      <c r="L26" s="273"/>
      <c r="M26" s="113"/>
      <c r="N26" s="111"/>
      <c r="O26" s="112"/>
      <c r="P26" s="111"/>
      <c r="CX26" s="27"/>
      <c r="CY26" s="27"/>
      <c r="CZ26" s="27"/>
      <c r="DA26" s="27"/>
      <c r="DB26" s="130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</row>
    <row r="27" spans="1:130" ht="12">
      <c r="A27" s="56" t="s">
        <v>39</v>
      </c>
      <c r="B27" s="19">
        <v>0</v>
      </c>
      <c r="C27" s="20">
        <v>0</v>
      </c>
      <c r="D27" s="21">
        <v>0</v>
      </c>
      <c r="F27" s="273" t="s">
        <v>186</v>
      </c>
      <c r="G27" s="273"/>
      <c r="H27" s="273"/>
      <c r="J27" s="273" t="s">
        <v>137</v>
      </c>
      <c r="K27" s="273"/>
      <c r="L27" s="273"/>
      <c r="M27" s="113"/>
      <c r="N27" s="111"/>
      <c r="O27" s="112"/>
      <c r="P27" s="111"/>
      <c r="CX27" s="141"/>
      <c r="CY27" s="27"/>
      <c r="CZ27" s="27"/>
      <c r="DA27" s="27"/>
      <c r="DB27" s="144"/>
      <c r="DC27" s="141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</row>
    <row r="28" spans="1:130" ht="12">
      <c r="A28" s="57" t="s">
        <v>40</v>
      </c>
      <c r="B28" s="19">
        <v>0</v>
      </c>
      <c r="C28" s="20">
        <v>0</v>
      </c>
      <c r="D28" s="7">
        <v>0</v>
      </c>
      <c r="E28" s="4"/>
      <c r="F28" s="274"/>
      <c r="G28" s="274"/>
      <c r="H28" s="274"/>
      <c r="J28" s="273" t="s">
        <v>187</v>
      </c>
      <c r="K28" s="273"/>
      <c r="L28" s="273"/>
      <c r="M28" s="113"/>
      <c r="N28" s="111"/>
      <c r="O28" s="112"/>
      <c r="P28" s="111"/>
      <c r="CX28" s="142"/>
      <c r="CY28" s="27"/>
      <c r="CZ28" s="27"/>
      <c r="DA28" s="27"/>
      <c r="DB28" s="12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</row>
    <row r="29" spans="1:130" ht="12">
      <c r="A29" s="58" t="s">
        <v>41</v>
      </c>
      <c r="B29" s="19">
        <v>0</v>
      </c>
      <c r="C29" s="20">
        <v>0</v>
      </c>
      <c r="D29" s="6">
        <v>0</v>
      </c>
      <c r="E29" s="4"/>
      <c r="F29" s="293" t="s">
        <v>130</v>
      </c>
      <c r="G29" s="293"/>
      <c r="H29" s="293"/>
      <c r="J29" s="273" t="s">
        <v>188</v>
      </c>
      <c r="K29" s="273"/>
      <c r="L29" s="273"/>
      <c r="M29" s="113"/>
      <c r="N29" s="113"/>
      <c r="O29" s="115"/>
      <c r="P29" s="110"/>
      <c r="CX29" s="141"/>
      <c r="CY29" s="27"/>
      <c r="CZ29" s="27"/>
      <c r="DA29" s="27"/>
      <c r="DB29" s="145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</row>
    <row r="30" spans="1:130" ht="12">
      <c r="A30" s="58" t="s">
        <v>42</v>
      </c>
      <c r="B30" s="19">
        <v>0</v>
      </c>
      <c r="C30" s="20">
        <v>0</v>
      </c>
      <c r="D30" s="7">
        <v>0</v>
      </c>
      <c r="E30" s="4"/>
      <c r="F30" s="273" t="s">
        <v>131</v>
      </c>
      <c r="G30" s="273"/>
      <c r="H30" s="273"/>
      <c r="J30" s="273" t="s">
        <v>138</v>
      </c>
      <c r="K30" s="273"/>
      <c r="L30" s="273"/>
      <c r="CX30" s="27"/>
      <c r="CY30" s="27"/>
      <c r="CZ30" s="27"/>
      <c r="DA30" s="103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</row>
    <row r="31" spans="1:130" ht="12">
      <c r="A31" s="58" t="s">
        <v>43</v>
      </c>
      <c r="B31" s="19">
        <v>0</v>
      </c>
      <c r="C31" s="20">
        <v>0</v>
      </c>
      <c r="D31" s="21">
        <v>0</v>
      </c>
      <c r="E31" s="10"/>
      <c r="F31" s="273" t="s">
        <v>132</v>
      </c>
      <c r="G31" s="273"/>
      <c r="H31" s="273"/>
      <c r="J31" s="273" t="s">
        <v>139</v>
      </c>
      <c r="K31" s="273"/>
      <c r="L31" s="273"/>
      <c r="CX31" s="27"/>
      <c r="CY31" s="27"/>
      <c r="CZ31" s="27"/>
      <c r="DA31" s="124"/>
      <c r="DB31" s="103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</row>
    <row r="32" spans="1:130" ht="12.75" thickBot="1">
      <c r="A32" s="59" t="s">
        <v>37</v>
      </c>
      <c r="B32" s="22">
        <v>0</v>
      </c>
      <c r="C32" s="20">
        <v>0</v>
      </c>
      <c r="D32" s="23">
        <v>0</v>
      </c>
      <c r="E32" s="10"/>
      <c r="F32" s="73"/>
      <c r="G32" s="71"/>
      <c r="H32" s="71"/>
      <c r="J32" s="71"/>
      <c r="K32" s="71"/>
      <c r="L32" s="71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X32" s="27"/>
      <c r="CY32" s="27"/>
      <c r="CZ32" s="27"/>
      <c r="DA32" s="124"/>
      <c r="DB32" s="103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</row>
    <row r="33" spans="1:130" ht="12.75" thickBot="1">
      <c r="A33" s="60" t="s">
        <v>185</v>
      </c>
      <c r="B33" s="281" t="s">
        <v>44</v>
      </c>
      <c r="C33" s="282"/>
      <c r="D33" s="269">
        <f>SUM(D26:D32)</f>
        <v>0</v>
      </c>
      <c r="E33" s="10"/>
      <c r="F33" s="73"/>
      <c r="G33" s="71"/>
      <c r="H33" s="71"/>
      <c r="J33" s="71"/>
      <c r="K33" s="71"/>
      <c r="L33" s="71"/>
      <c r="BZ33" s="187"/>
      <c r="CA33" s="187"/>
      <c r="CB33" s="187"/>
      <c r="CC33" s="187" t="s">
        <v>8</v>
      </c>
      <c r="CD33" s="187"/>
      <c r="CE33" s="188">
        <f>C13</f>
        <v>2011</v>
      </c>
      <c r="CF33" s="187"/>
      <c r="CG33" s="189">
        <f>CE33</f>
        <v>2011</v>
      </c>
      <c r="CH33" s="187"/>
      <c r="CI33" s="187"/>
      <c r="CJ33" s="187"/>
      <c r="CK33" s="187"/>
      <c r="CL33" s="187"/>
      <c r="CM33" s="187"/>
      <c r="CX33" s="27"/>
      <c r="CY33" s="27"/>
      <c r="CZ33" s="27"/>
      <c r="DA33" s="27"/>
      <c r="DB33" s="103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</row>
    <row r="34" spans="1:130" ht="12">
      <c r="A34" s="180">
        <f>SUM(B11:B13)*12</f>
        <v>0</v>
      </c>
      <c r="B34" s="275" t="s">
        <v>99</v>
      </c>
      <c r="C34" s="275"/>
      <c r="D34" s="61">
        <f>B15+D33</f>
        <v>93.03733333333332</v>
      </c>
      <c r="E34" s="10"/>
      <c r="F34" s="73" t="s">
        <v>1</v>
      </c>
      <c r="G34" s="71" t="s">
        <v>1</v>
      </c>
      <c r="H34" s="71" t="s">
        <v>1</v>
      </c>
      <c r="J34" s="71"/>
      <c r="K34" s="71"/>
      <c r="L34" s="71"/>
      <c r="BZ34" s="188">
        <f>CE49+CE50</f>
        <v>2</v>
      </c>
      <c r="CA34" s="187"/>
      <c r="CB34" s="187"/>
      <c r="CC34" s="187" t="s">
        <v>9</v>
      </c>
      <c r="CD34" s="187"/>
      <c r="CE34" s="188">
        <f>B7+CE33-D7</f>
        <v>35</v>
      </c>
      <c r="CF34" s="187"/>
      <c r="CG34" s="190">
        <f>CG33-1</f>
        <v>2010</v>
      </c>
      <c r="CH34" s="187"/>
      <c r="CI34" s="187"/>
      <c r="CJ34" s="187"/>
      <c r="CK34" s="187"/>
      <c r="CL34" s="187"/>
      <c r="CM34" s="187"/>
      <c r="CX34" s="142"/>
      <c r="CY34" s="27"/>
      <c r="CZ34" s="27"/>
      <c r="DA34" s="27"/>
      <c r="DB34" s="146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</row>
    <row r="35" spans="1:130" ht="12">
      <c r="A35" s="4"/>
      <c r="B35" s="24"/>
      <c r="C35" s="25"/>
      <c r="D35" s="10"/>
      <c r="E35" s="10"/>
      <c r="F35" s="10"/>
      <c r="BZ35" s="187"/>
      <c r="CA35" s="187"/>
      <c r="CB35" s="187"/>
      <c r="CC35" s="187" t="s">
        <v>10</v>
      </c>
      <c r="CD35" s="187"/>
      <c r="CE35" s="191">
        <f>2*BZ34</f>
        <v>4</v>
      </c>
      <c r="CF35" s="187"/>
      <c r="CG35" s="190">
        <f aca="true" t="shared" si="0" ref="CG35:CG40">CG34-1</f>
        <v>2009</v>
      </c>
      <c r="CH35" s="187"/>
      <c r="CI35" s="187"/>
      <c r="CJ35" s="187"/>
      <c r="CK35" s="187"/>
      <c r="CL35" s="187"/>
      <c r="CM35" s="18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</row>
    <row r="36" spans="1:130" ht="12">
      <c r="A36" s="10"/>
      <c r="B36" s="5"/>
      <c r="C36" s="26"/>
      <c r="D36" s="10"/>
      <c r="E36" s="10"/>
      <c r="F36" s="10"/>
      <c r="BZ36" s="187"/>
      <c r="CA36" s="187"/>
      <c r="CB36" s="187"/>
      <c r="CC36" s="187" t="s">
        <v>11</v>
      </c>
      <c r="CD36" s="187"/>
      <c r="CE36" s="191">
        <f>2*BZ34+1</f>
        <v>5</v>
      </c>
      <c r="CF36" s="187"/>
      <c r="CG36" s="190">
        <f t="shared" si="0"/>
        <v>2008</v>
      </c>
      <c r="CH36" s="187"/>
      <c r="CI36" s="187"/>
      <c r="CJ36" s="187"/>
      <c r="CK36" s="187"/>
      <c r="CL36" s="187"/>
      <c r="CM36" s="18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</row>
    <row r="37" spans="1:130" ht="12">
      <c r="A37" s="4"/>
      <c r="B37" s="24"/>
      <c r="C37" s="25"/>
      <c r="D37" s="10"/>
      <c r="E37" s="10"/>
      <c r="F37" s="10"/>
      <c r="BZ37" s="187"/>
      <c r="CA37" s="187"/>
      <c r="CB37" s="187"/>
      <c r="CC37" s="187" t="s">
        <v>12</v>
      </c>
      <c r="CD37" s="187"/>
      <c r="CE37" s="191">
        <f>IF(D4&gt;15,C4+1,C4)</f>
        <v>7</v>
      </c>
      <c r="CF37" s="187"/>
      <c r="CG37" s="190">
        <f t="shared" si="0"/>
        <v>2007</v>
      </c>
      <c r="CH37" s="187"/>
      <c r="CI37" s="187"/>
      <c r="CJ37" s="187"/>
      <c r="CK37" s="187"/>
      <c r="CL37" s="187"/>
      <c r="CM37" s="18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</row>
    <row r="38" spans="78:130" ht="12">
      <c r="BZ38" s="187"/>
      <c r="CA38" s="187"/>
      <c r="CB38" s="187"/>
      <c r="CC38" s="187" t="s">
        <v>13</v>
      </c>
      <c r="CD38" s="187"/>
      <c r="CE38" s="191">
        <f>IF(CE37=12,B4+1,B4)</f>
        <v>35</v>
      </c>
      <c r="CF38" s="187"/>
      <c r="CG38" s="190">
        <f t="shared" si="0"/>
        <v>2006</v>
      </c>
      <c r="CH38" s="187"/>
      <c r="CI38" s="187"/>
      <c r="CJ38" s="187"/>
      <c r="CK38" s="187"/>
      <c r="CL38" s="187"/>
      <c r="CM38" s="18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</row>
    <row r="39" spans="78:130" ht="12">
      <c r="BZ39" s="187"/>
      <c r="CA39" s="187"/>
      <c r="CB39" s="187"/>
      <c r="CC39" s="187" t="s">
        <v>14</v>
      </c>
      <c r="CD39" s="187"/>
      <c r="CE39" s="191">
        <f>CF67+CF39</f>
        <v>10</v>
      </c>
      <c r="CF39" s="187">
        <v>3</v>
      </c>
      <c r="CG39" s="190">
        <f t="shared" si="0"/>
        <v>2005</v>
      </c>
      <c r="CH39" s="187"/>
      <c r="CI39" s="187"/>
      <c r="CJ39" s="187"/>
      <c r="CK39" s="187"/>
      <c r="CL39" s="187"/>
      <c r="CM39" s="18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</row>
    <row r="40" spans="78:130" ht="12">
      <c r="BZ40" s="187"/>
      <c r="CA40" s="187"/>
      <c r="CB40" s="187"/>
      <c r="CC40" s="187" t="s">
        <v>15</v>
      </c>
      <c r="CD40" s="187"/>
      <c r="CE40" s="191">
        <f>IF(CE39&gt;11,CE39-12,CE39)</f>
        <v>10</v>
      </c>
      <c r="CF40" s="187"/>
      <c r="CG40" s="192">
        <f t="shared" si="0"/>
        <v>2004</v>
      </c>
      <c r="CH40" s="187"/>
      <c r="CI40" s="187"/>
      <c r="CJ40" s="187"/>
      <c r="CK40" s="187"/>
      <c r="CL40" s="187"/>
      <c r="CM40" s="18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</row>
    <row r="41" spans="78:130" ht="12">
      <c r="BZ41" s="187"/>
      <c r="CA41" s="187"/>
      <c r="CB41" s="187"/>
      <c r="CC41" s="187" t="s">
        <v>16</v>
      </c>
      <c r="CD41" s="187"/>
      <c r="CE41" s="191">
        <f>IF(CE39&gt;11,CE67-CF41+1,CE67-CF41)</f>
        <v>16</v>
      </c>
      <c r="CF41" s="187">
        <f>CE33-1992</f>
        <v>19</v>
      </c>
      <c r="CG41" s="193"/>
      <c r="CH41" s="187"/>
      <c r="CI41" s="187"/>
      <c r="CJ41" s="187"/>
      <c r="CK41" s="187"/>
      <c r="CL41" s="187"/>
      <c r="CM41" s="18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</row>
    <row r="42" spans="78:130" ht="12">
      <c r="BZ42" s="187"/>
      <c r="CA42" s="187"/>
      <c r="CB42" s="187"/>
      <c r="CC42" s="187" t="s">
        <v>17</v>
      </c>
      <c r="CD42" s="187"/>
      <c r="CE42" s="194">
        <f>(CE67-15)*1.8+35+(CF67*0.15)</f>
        <v>72.05</v>
      </c>
      <c r="CF42" s="187"/>
      <c r="CG42" s="195"/>
      <c r="CH42" s="187"/>
      <c r="CI42" s="187"/>
      <c r="CJ42" s="187"/>
      <c r="CK42" s="187"/>
      <c r="CL42" s="187"/>
      <c r="CM42" s="18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</row>
    <row r="43" spans="78:130" ht="12">
      <c r="BZ43" s="187"/>
      <c r="CA43" s="187"/>
      <c r="CB43" s="187"/>
      <c r="CC43" s="187" t="s">
        <v>18</v>
      </c>
      <c r="CD43" s="187"/>
      <c r="CE43" s="191">
        <f>IF(CE69&gt;14,1.8,2.33333)</f>
        <v>1.8</v>
      </c>
      <c r="CF43" s="187"/>
      <c r="CG43" s="196"/>
      <c r="CH43" s="187"/>
      <c r="CI43" s="187"/>
      <c r="CJ43" s="187"/>
      <c r="CK43" s="187"/>
      <c r="CL43" s="187"/>
      <c r="CM43" s="18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</row>
    <row r="44" spans="78:130" ht="12">
      <c r="BZ44" s="187"/>
      <c r="CA44" s="187"/>
      <c r="CB44" s="187"/>
      <c r="CC44" s="187" t="s">
        <v>19</v>
      </c>
      <c r="CD44" s="187"/>
      <c r="CE44" s="191">
        <f>IF(CE72&gt;14,1.8,2.33333)</f>
        <v>1.8</v>
      </c>
      <c r="CF44" s="187"/>
      <c r="CG44" s="196"/>
      <c r="CH44" s="187"/>
      <c r="CI44" s="187"/>
      <c r="CJ44" s="187"/>
      <c r="CK44" s="187"/>
      <c r="CL44" s="187"/>
      <c r="CM44" s="18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</row>
    <row r="45" spans="78:130" ht="12">
      <c r="BZ45" s="187"/>
      <c r="CA45" s="187"/>
      <c r="CB45" s="187"/>
      <c r="CC45" s="187" t="str">
        <f>IF(CE45=1," ","Il programma è stato manipolato e Il calcolo non è corretto")</f>
        <v> </v>
      </c>
      <c r="CD45" s="187"/>
      <c r="CE45" s="197">
        <f>IF(BZ92="PPPPP",1,1.8)</f>
        <v>1</v>
      </c>
      <c r="CF45" s="187"/>
      <c r="CG45" s="196"/>
      <c r="CH45" s="187"/>
      <c r="CI45" s="187"/>
      <c r="CJ45" s="187"/>
      <c r="CK45" s="187"/>
      <c r="CL45" s="187"/>
      <c r="CM45" s="187"/>
      <c r="CX45" s="27"/>
      <c r="CY45" s="27"/>
      <c r="CZ45" s="116"/>
      <c r="DA45" s="27"/>
      <c r="DB45" s="116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2:130" ht="12">
      <c r="L46" s="232"/>
      <c r="BZ46" s="187"/>
      <c r="CA46" s="187"/>
      <c r="CB46" s="187"/>
      <c r="CC46" s="187"/>
      <c r="CD46" s="187"/>
      <c r="CE46" s="187"/>
      <c r="CF46" s="187"/>
      <c r="CG46" s="195"/>
      <c r="CH46" s="187"/>
      <c r="CI46" s="187"/>
      <c r="CJ46" s="187"/>
      <c r="CK46" s="187"/>
      <c r="CL46" s="187"/>
      <c r="CM46" s="187"/>
      <c r="CX46" s="27"/>
      <c r="CY46" s="27"/>
      <c r="CZ46" s="116"/>
      <c r="DA46" s="27"/>
      <c r="DB46" s="116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</row>
    <row r="47" spans="10:130" ht="12">
      <c r="J47" s="233"/>
      <c r="BZ47" s="187"/>
      <c r="CA47" s="187"/>
      <c r="CB47" s="187"/>
      <c r="CC47" s="187"/>
      <c r="CD47" s="187"/>
      <c r="CE47" s="187"/>
      <c r="CF47" s="187"/>
      <c r="CG47" s="198"/>
      <c r="CH47" s="187"/>
      <c r="CI47" s="187"/>
      <c r="CJ47" s="187"/>
      <c r="CK47" s="187"/>
      <c r="CL47" s="187"/>
      <c r="CM47" s="187"/>
      <c r="CX47" s="27"/>
      <c r="CY47" s="27"/>
      <c r="CZ47" s="27"/>
      <c r="DA47" s="27"/>
      <c r="DB47" s="116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</row>
    <row r="48" spans="1:130" ht="12">
      <c r="A48" s="234"/>
      <c r="B48" s="24"/>
      <c r="C48" s="25"/>
      <c r="D48" s="10"/>
      <c r="E48" s="10"/>
      <c r="F48" s="10"/>
      <c r="G48" s="10"/>
      <c r="H48" s="10"/>
      <c r="I48" s="10"/>
      <c r="J48" s="235"/>
      <c r="K48" s="10"/>
      <c r="L48" s="235"/>
      <c r="M48" s="10"/>
      <c r="BZ48" s="187"/>
      <c r="CA48" s="187"/>
      <c r="CB48" s="187"/>
      <c r="CC48" s="187"/>
      <c r="CD48" s="187"/>
      <c r="CE48" s="187"/>
      <c r="CF48" s="187"/>
      <c r="CG48" s="196"/>
      <c r="CH48" s="187"/>
      <c r="CI48" s="187"/>
      <c r="CJ48" s="187"/>
      <c r="CK48" s="187"/>
      <c r="CL48" s="187"/>
      <c r="CM48" s="187"/>
      <c r="CX48" s="27"/>
      <c r="CY48" s="27"/>
      <c r="CZ48" s="27"/>
      <c r="DA48" s="27"/>
      <c r="DB48" s="116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</row>
    <row r="49" spans="1:130" ht="12">
      <c r="A49" s="234"/>
      <c r="B49" s="4"/>
      <c r="C49" s="10"/>
      <c r="D49" s="10"/>
      <c r="E49" s="10"/>
      <c r="F49" s="10"/>
      <c r="G49" s="10"/>
      <c r="H49" s="10"/>
      <c r="I49" s="10"/>
      <c r="J49" s="235"/>
      <c r="K49" s="10"/>
      <c r="L49" s="235"/>
      <c r="M49" s="10"/>
      <c r="BZ49" s="187"/>
      <c r="CA49" s="187"/>
      <c r="CB49" s="187"/>
      <c r="CC49" s="187" t="s">
        <v>50</v>
      </c>
      <c r="CD49" s="187"/>
      <c r="CE49" s="191">
        <f>IF(J2="Collab scol",1,IF(J2="Ass amm/tec",2))</f>
        <v>2</v>
      </c>
      <c r="CF49" s="191">
        <v>0</v>
      </c>
      <c r="CG49" s="196"/>
      <c r="CH49" s="187"/>
      <c r="CI49" s="187"/>
      <c r="CJ49" s="187"/>
      <c r="CK49" s="187"/>
      <c r="CL49" s="187"/>
      <c r="CM49" s="187"/>
      <c r="CX49" s="27"/>
      <c r="CY49" s="27"/>
      <c r="CZ49" s="27"/>
      <c r="DA49" s="27"/>
      <c r="DB49" s="116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</row>
    <row r="50" spans="1:130" ht="12">
      <c r="A50" s="234"/>
      <c r="B50" s="4"/>
      <c r="C50" s="10"/>
      <c r="D50" s="10"/>
      <c r="E50" s="10"/>
      <c r="F50" s="10"/>
      <c r="G50" s="10"/>
      <c r="H50" s="10"/>
      <c r="I50" s="10"/>
      <c r="J50" s="10"/>
      <c r="K50" s="10"/>
      <c r="L50" s="235"/>
      <c r="M50" s="10"/>
      <c r="BZ50" s="187"/>
      <c r="CA50" s="187"/>
      <c r="CB50" s="187"/>
      <c r="CC50" s="187" t="s">
        <v>51</v>
      </c>
      <c r="CD50" s="187"/>
      <c r="CE50" s="191">
        <f>IF(J2="doc Mat",4,IF(J2="doc Elem",5,IF(J2="doc dipl sec",6,IF(J2="doc Sc media",7,IF(J2="doc sec sup",8,0)))))</f>
        <v>0</v>
      </c>
      <c r="CF50" s="191">
        <v>3</v>
      </c>
      <c r="CG50" s="195"/>
      <c r="CH50" s="187"/>
      <c r="CI50" s="187"/>
      <c r="CJ50" s="187"/>
      <c r="CK50" s="187"/>
      <c r="CL50" s="187"/>
      <c r="CM50" s="187"/>
      <c r="CX50" s="27"/>
      <c r="CY50" s="27"/>
      <c r="CZ50" s="27"/>
      <c r="DA50" s="27"/>
      <c r="DB50" s="116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</row>
    <row r="51" spans="1:130" ht="12">
      <c r="A51" s="10"/>
      <c r="B51" s="4"/>
      <c r="C51" s="10"/>
      <c r="D51" s="10"/>
      <c r="E51" s="10"/>
      <c r="F51" s="10"/>
      <c r="G51" s="10"/>
      <c r="H51" s="10"/>
      <c r="I51" s="10"/>
      <c r="J51" s="10"/>
      <c r="K51" s="10"/>
      <c r="L51" s="235"/>
      <c r="M51" s="10"/>
      <c r="BZ51" s="187"/>
      <c r="CA51" s="187"/>
      <c r="CB51" s="187"/>
      <c r="CC51" s="187" t="s">
        <v>20</v>
      </c>
      <c r="CD51" s="187"/>
      <c r="CE51" s="191"/>
      <c r="CF51" s="191">
        <v>9</v>
      </c>
      <c r="CG51" s="195"/>
      <c r="CH51" s="187"/>
      <c r="CI51" s="187"/>
      <c r="CJ51" s="187"/>
      <c r="CK51" s="187"/>
      <c r="CL51" s="187"/>
      <c r="CM51" s="187"/>
      <c r="CX51" s="27"/>
      <c r="CY51" s="27"/>
      <c r="CZ51" s="27"/>
      <c r="DA51" s="27"/>
      <c r="DB51" s="116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</row>
    <row r="52" spans="1:130" ht="12">
      <c r="A52" s="236"/>
      <c r="B52" s="4"/>
      <c r="C52" s="10"/>
      <c r="D52" s="10"/>
      <c r="E52" s="10"/>
      <c r="F52" s="10"/>
      <c r="G52" s="10"/>
      <c r="H52" s="10"/>
      <c r="I52" s="10"/>
      <c r="J52" s="10"/>
      <c r="K52" s="10"/>
      <c r="L52" s="235"/>
      <c r="M52" s="10"/>
      <c r="BZ52" s="187"/>
      <c r="CA52" s="187"/>
      <c r="CB52" s="187"/>
      <c r="CC52" s="187" t="s">
        <v>21</v>
      </c>
      <c r="CD52" s="187"/>
      <c r="CE52" s="191"/>
      <c r="CF52" s="191">
        <v>15</v>
      </c>
      <c r="CG52" s="195"/>
      <c r="CH52" s="187"/>
      <c r="CI52" s="187"/>
      <c r="CJ52" s="187"/>
      <c r="CK52" s="187"/>
      <c r="CL52" s="187"/>
      <c r="CM52" s="187"/>
      <c r="CX52" s="27"/>
      <c r="CY52" s="27"/>
      <c r="CZ52" s="27"/>
      <c r="DA52" s="27"/>
      <c r="DB52" s="116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</row>
    <row r="53" spans="1:130" ht="12">
      <c r="A53" s="234"/>
      <c r="B53" s="4"/>
      <c r="C53" s="10"/>
      <c r="D53" s="10"/>
      <c r="E53" s="10"/>
      <c r="F53" s="10"/>
      <c r="G53" s="10"/>
      <c r="H53" s="10"/>
      <c r="I53" s="10"/>
      <c r="J53" s="10"/>
      <c r="K53" s="10"/>
      <c r="L53" s="235"/>
      <c r="M53" s="10"/>
      <c r="BZ53" s="187"/>
      <c r="CA53" s="187"/>
      <c r="CB53" s="187"/>
      <c r="CC53" s="187" t="s">
        <v>23</v>
      </c>
      <c r="CD53" s="187"/>
      <c r="CE53" s="191"/>
      <c r="CF53" s="191">
        <v>21</v>
      </c>
      <c r="CG53" s="195"/>
      <c r="CH53" s="187"/>
      <c r="CI53" s="187"/>
      <c r="CJ53" s="187"/>
      <c r="CK53" s="187"/>
      <c r="CL53" s="187"/>
      <c r="CM53" s="187"/>
      <c r="CX53" s="27"/>
      <c r="CY53" s="27"/>
      <c r="CZ53" s="27"/>
      <c r="DA53" s="27"/>
      <c r="DB53" s="11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</row>
    <row r="54" spans="1:130" ht="12">
      <c r="A54" s="10"/>
      <c r="B54" s="4"/>
      <c r="C54" s="237"/>
      <c r="D54" s="10"/>
      <c r="E54" s="10"/>
      <c r="F54" s="10"/>
      <c r="G54" s="10"/>
      <c r="H54" s="10"/>
      <c r="I54" s="10"/>
      <c r="J54" s="10"/>
      <c r="K54" s="10"/>
      <c r="L54" s="235"/>
      <c r="M54" s="10"/>
      <c r="BZ54" s="187"/>
      <c r="CA54" s="187"/>
      <c r="CB54" s="187"/>
      <c r="CC54" s="187" t="s">
        <v>24</v>
      </c>
      <c r="CD54" s="187"/>
      <c r="CE54" s="191"/>
      <c r="CF54" s="191">
        <v>28</v>
      </c>
      <c r="CG54" s="187"/>
      <c r="CH54" s="187"/>
      <c r="CI54" s="187"/>
      <c r="CJ54" s="187"/>
      <c r="CK54" s="187"/>
      <c r="CL54" s="187"/>
      <c r="CM54" s="187"/>
      <c r="CX54" s="27"/>
      <c r="CY54" s="27"/>
      <c r="CZ54" s="118"/>
      <c r="DA54" s="27"/>
      <c r="DB54" s="119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</row>
    <row r="55" spans="1:130" ht="12">
      <c r="A55" s="10"/>
      <c r="B55" s="4"/>
      <c r="C55" s="10"/>
      <c r="D55" s="10"/>
      <c r="E55" s="10"/>
      <c r="F55" s="10"/>
      <c r="G55" s="10"/>
      <c r="H55" s="10"/>
      <c r="I55" s="10"/>
      <c r="J55" s="10"/>
      <c r="K55" s="10"/>
      <c r="L55" s="235"/>
      <c r="M55" s="10"/>
      <c r="BZ55" s="187"/>
      <c r="CA55" s="187"/>
      <c r="CB55" s="187"/>
      <c r="CC55" s="187" t="s">
        <v>22</v>
      </c>
      <c r="CD55" s="187"/>
      <c r="CE55" s="191"/>
      <c r="CF55" s="191">
        <v>35</v>
      </c>
      <c r="CG55" s="187"/>
      <c r="CH55" s="187"/>
      <c r="CI55" s="187"/>
      <c r="CJ55" s="187"/>
      <c r="CK55" s="187"/>
      <c r="CL55" s="187"/>
      <c r="CM55" s="187"/>
      <c r="CX55" s="27"/>
      <c r="CY55" s="27"/>
      <c r="CZ55" s="27"/>
      <c r="DA55" s="27"/>
      <c r="DB55" s="121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</row>
    <row r="56" spans="1:130" ht="12">
      <c r="A56" s="26"/>
      <c r="B56" s="4"/>
      <c r="C56" s="10"/>
      <c r="D56" s="10"/>
      <c r="E56" s="10"/>
      <c r="F56" s="10"/>
      <c r="G56" s="10"/>
      <c r="H56" s="10"/>
      <c r="I56" s="10"/>
      <c r="J56" s="10"/>
      <c r="K56" s="10"/>
      <c r="L56" s="238"/>
      <c r="M56" s="10"/>
      <c r="BZ56" s="187"/>
      <c r="CA56" s="187"/>
      <c r="CB56" s="187"/>
      <c r="CC56" s="187" t="s">
        <v>1</v>
      </c>
      <c r="CD56" s="187"/>
      <c r="CE56" s="191"/>
      <c r="CF56" s="187"/>
      <c r="CG56" s="199"/>
      <c r="CH56" s="187"/>
      <c r="CI56" s="187"/>
      <c r="CJ56" s="187"/>
      <c r="CK56" s="187"/>
      <c r="CL56" s="187"/>
      <c r="CM56" s="187"/>
      <c r="CX56" s="27"/>
      <c r="CY56" s="27"/>
      <c r="CZ56" s="27"/>
      <c r="DA56" s="27"/>
      <c r="DB56" s="121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</row>
    <row r="57" spans="1:130" ht="12">
      <c r="A57" s="26"/>
      <c r="B57" s="4"/>
      <c r="C57" s="10"/>
      <c r="D57" s="10"/>
      <c r="E57" s="10"/>
      <c r="F57" s="10"/>
      <c r="G57" s="10"/>
      <c r="H57" s="10"/>
      <c r="I57" s="10"/>
      <c r="J57" s="239"/>
      <c r="K57" s="10"/>
      <c r="L57" s="240"/>
      <c r="M57" s="10"/>
      <c r="BZ57" s="187"/>
      <c r="CA57" s="187"/>
      <c r="CB57" s="187"/>
      <c r="CC57" s="187"/>
      <c r="CD57" s="187"/>
      <c r="CE57" s="187"/>
      <c r="CF57" s="201" t="s">
        <v>104</v>
      </c>
      <c r="CG57" s="201" t="s">
        <v>7</v>
      </c>
      <c r="CH57" s="187"/>
      <c r="CI57" s="187"/>
      <c r="CJ57" s="187"/>
      <c r="CK57" s="187"/>
      <c r="CL57" s="187"/>
      <c r="CM57" s="187"/>
      <c r="CX57" s="27"/>
      <c r="CY57" s="27"/>
      <c r="CZ57" s="122"/>
      <c r="DA57" s="27"/>
      <c r="DB57" s="121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</row>
    <row r="58" spans="1:130" ht="12">
      <c r="A58" s="10"/>
      <c r="B58" s="4"/>
      <c r="C58" s="10"/>
      <c r="D58" s="10"/>
      <c r="E58" s="10"/>
      <c r="F58" s="10"/>
      <c r="G58" s="10"/>
      <c r="H58" s="10"/>
      <c r="I58" s="10"/>
      <c r="J58" s="10"/>
      <c r="K58" s="10"/>
      <c r="L58" s="241"/>
      <c r="M58" s="10"/>
      <c r="BZ58" s="187"/>
      <c r="CA58" s="187"/>
      <c r="CB58" s="187"/>
      <c r="CC58" s="202"/>
      <c r="CD58" s="202"/>
      <c r="CE58" s="202"/>
      <c r="CF58" s="203">
        <f>CG84</f>
        <v>17922.000781076367</v>
      </c>
      <c r="CG58" s="204">
        <f>CG84*1.08333333</f>
        <v>19415.500786426062</v>
      </c>
      <c r="CH58" s="187"/>
      <c r="CI58" s="187"/>
      <c r="CJ58" s="187"/>
      <c r="CK58" s="187"/>
      <c r="CL58" s="187"/>
      <c r="CM58" s="187"/>
      <c r="CX58" s="27"/>
      <c r="CY58" s="27"/>
      <c r="CZ58" s="27"/>
      <c r="DA58" s="27"/>
      <c r="DB58" s="11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</row>
    <row r="59" spans="1:130" ht="12">
      <c r="A59" s="10"/>
      <c r="B59" s="4"/>
      <c r="C59" s="4"/>
      <c r="D59" s="10"/>
      <c r="E59" s="10"/>
      <c r="F59" s="10"/>
      <c r="G59" s="10"/>
      <c r="H59" s="10"/>
      <c r="I59" s="10"/>
      <c r="J59" s="10"/>
      <c r="K59" s="10"/>
      <c r="L59" s="241"/>
      <c r="M59" s="10"/>
      <c r="BZ59" s="187"/>
      <c r="CA59" s="187"/>
      <c r="CB59" s="187"/>
      <c r="CC59" s="202"/>
      <c r="CD59" s="202"/>
      <c r="CE59" s="202"/>
      <c r="CF59" s="202"/>
      <c r="CG59" s="205"/>
      <c r="CH59" s="187"/>
      <c r="CI59" s="187"/>
      <c r="CJ59" s="187"/>
      <c r="CK59" s="187"/>
      <c r="CL59" s="187"/>
      <c r="CM59" s="187"/>
      <c r="CX59" s="27"/>
      <c r="CY59" s="27"/>
      <c r="CZ59" s="27"/>
      <c r="DA59" s="27"/>
      <c r="DB59" s="123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</row>
    <row r="60" spans="1:130" ht="12">
      <c r="A60" s="10"/>
      <c r="B60" s="4"/>
      <c r="C60" s="10"/>
      <c r="D60" s="10"/>
      <c r="E60" s="10"/>
      <c r="F60" s="10"/>
      <c r="G60" s="10"/>
      <c r="H60" s="10"/>
      <c r="I60" s="10"/>
      <c r="J60" s="242"/>
      <c r="K60" s="10"/>
      <c r="L60" s="241"/>
      <c r="M60" s="10"/>
      <c r="BZ60" s="187"/>
      <c r="CA60" s="187"/>
      <c r="CB60" s="187"/>
      <c r="CC60" s="201">
        <v>2010</v>
      </c>
      <c r="CD60" s="202"/>
      <c r="CE60" s="206"/>
      <c r="CF60" s="201"/>
      <c r="CG60" s="202"/>
      <c r="CH60" s="202"/>
      <c r="CI60" s="202"/>
      <c r="CJ60" s="202"/>
      <c r="CK60" s="202"/>
      <c r="CL60" s="187"/>
      <c r="CM60" s="187"/>
      <c r="CX60" s="27"/>
      <c r="CY60" s="27"/>
      <c r="CZ60" s="27"/>
      <c r="DA60" s="27"/>
      <c r="DB60" s="121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</row>
    <row r="61" spans="1:130" ht="12">
      <c r="A61" s="10"/>
      <c r="B61" s="4"/>
      <c r="C61" s="243"/>
      <c r="D61" s="10"/>
      <c r="E61" s="10"/>
      <c r="F61" s="10"/>
      <c r="G61" s="10"/>
      <c r="H61" s="10"/>
      <c r="I61" s="10"/>
      <c r="J61" s="10"/>
      <c r="K61" s="10"/>
      <c r="L61" s="240"/>
      <c r="M61" s="10"/>
      <c r="BZ61" s="187"/>
      <c r="CA61" s="187"/>
      <c r="CB61" s="187"/>
      <c r="CC61" s="202" t="s">
        <v>161</v>
      </c>
      <c r="CD61" s="202"/>
      <c r="CE61" s="207">
        <f>IF(CE34&gt;45,45,CE34)</f>
        <v>35</v>
      </c>
      <c r="CF61" s="202"/>
      <c r="CG61" s="203">
        <f>CG62/12</f>
        <v>1367.3215374405427</v>
      </c>
      <c r="CH61" s="202"/>
      <c r="CI61" s="202"/>
      <c r="CJ61" s="202"/>
      <c r="CK61" s="202"/>
      <c r="CL61" s="187"/>
      <c r="CM61" s="187"/>
      <c r="CX61" s="27"/>
      <c r="CY61" s="27"/>
      <c r="CZ61" s="120"/>
      <c r="DA61" s="120"/>
      <c r="DB61" s="121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</row>
    <row r="62" spans="1:130" ht="12">
      <c r="A62" s="10"/>
      <c r="B62" s="4"/>
      <c r="C62" s="243"/>
      <c r="D62" s="10"/>
      <c r="E62" s="10"/>
      <c r="F62" s="10"/>
      <c r="G62" s="10"/>
      <c r="H62" s="10"/>
      <c r="I62" s="10"/>
      <c r="J62" s="10"/>
      <c r="K62" s="10"/>
      <c r="L62" s="244"/>
      <c r="M62" s="10"/>
      <c r="BZ62" s="187"/>
      <c r="CA62" s="187"/>
      <c r="CB62" s="187"/>
      <c r="CC62" s="202" t="s">
        <v>105</v>
      </c>
      <c r="CD62" s="202"/>
      <c r="CE62" s="202"/>
      <c r="CF62" s="208"/>
      <c r="CG62" s="203">
        <f>VLOOKUP(CE61,Dati!A4:Q49,CE35)</f>
        <v>16407.858449286512</v>
      </c>
      <c r="CH62" s="202"/>
      <c r="CI62" s="209">
        <f>ED16*12</f>
        <v>0</v>
      </c>
      <c r="CJ62" s="202"/>
      <c r="CK62" s="202"/>
      <c r="CL62" s="187"/>
      <c r="CM62" s="187"/>
      <c r="CX62" s="27"/>
      <c r="CY62" s="27"/>
      <c r="CZ62" s="120"/>
      <c r="DA62" s="120"/>
      <c r="DB62" s="119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</row>
    <row r="63" spans="1:130" ht="12">
      <c r="A63" s="10"/>
      <c r="B63" s="4"/>
      <c r="C63" s="243"/>
      <c r="D63" s="10"/>
      <c r="E63" s="10"/>
      <c r="F63" s="10"/>
      <c r="G63" s="10"/>
      <c r="H63" s="10"/>
      <c r="I63" s="10"/>
      <c r="J63" s="10"/>
      <c r="K63" s="10"/>
      <c r="L63" s="241"/>
      <c r="M63" s="10"/>
      <c r="BZ63" s="187"/>
      <c r="CA63" s="187"/>
      <c r="CB63" s="187"/>
      <c r="CC63" s="202" t="s">
        <v>106</v>
      </c>
      <c r="CD63" s="202"/>
      <c r="CE63" s="202"/>
      <c r="CF63" s="202"/>
      <c r="CG63" s="204">
        <f>CG62+CI62</f>
        <v>16407.858449286512</v>
      </c>
      <c r="CH63" s="202"/>
      <c r="CI63" s="209"/>
      <c r="CJ63" s="202"/>
      <c r="CK63" s="202"/>
      <c r="CL63" s="187"/>
      <c r="CM63" s="187"/>
      <c r="CX63" s="27"/>
      <c r="CY63" s="27"/>
      <c r="CZ63" s="120"/>
      <c r="DA63" s="120"/>
      <c r="DB63" s="119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</row>
    <row r="64" spans="1:130" ht="12">
      <c r="A64" s="10"/>
      <c r="B64" s="4"/>
      <c r="C64" s="245"/>
      <c r="D64" s="10"/>
      <c r="E64" s="10"/>
      <c r="F64" s="10"/>
      <c r="G64" s="10"/>
      <c r="H64" s="10"/>
      <c r="I64" s="10"/>
      <c r="J64" s="4"/>
      <c r="K64" s="4"/>
      <c r="L64" s="241"/>
      <c r="M64" s="10"/>
      <c r="BZ64" s="187"/>
      <c r="CA64" s="187"/>
      <c r="CB64" s="187"/>
      <c r="CC64" s="202" t="s">
        <v>119</v>
      </c>
      <c r="CD64" s="202"/>
      <c r="CE64" s="202"/>
      <c r="CF64" s="202"/>
      <c r="CG64" s="204">
        <f>CG63*1.18</f>
        <v>19361.272970158083</v>
      </c>
      <c r="CH64" s="202"/>
      <c r="CI64" s="202"/>
      <c r="CJ64" s="202"/>
      <c r="CK64" s="202"/>
      <c r="CL64" s="187"/>
      <c r="CM64" s="187"/>
      <c r="CX64" s="27"/>
      <c r="CY64" s="27"/>
      <c r="CZ64" s="120"/>
      <c r="DA64" s="120"/>
      <c r="DB64" s="119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</row>
    <row r="65" spans="1:130" ht="12">
      <c r="A65" s="10"/>
      <c r="B65" s="4"/>
      <c r="C65" s="243"/>
      <c r="D65" s="10"/>
      <c r="E65" s="10"/>
      <c r="F65" s="10"/>
      <c r="G65" s="10"/>
      <c r="H65" s="10"/>
      <c r="I65" s="10"/>
      <c r="J65" s="4"/>
      <c r="K65" s="4"/>
      <c r="L65" s="240"/>
      <c r="M65" s="10"/>
      <c r="BZ65" s="187"/>
      <c r="CA65" s="187"/>
      <c r="CB65" s="187"/>
      <c r="CC65" s="202" t="s">
        <v>107</v>
      </c>
      <c r="CD65" s="202"/>
      <c r="CE65" s="202"/>
      <c r="CF65" s="202"/>
      <c r="CG65" s="204">
        <f>VLOOKUP(BZ34,Dati!S7:U14,3)</f>
        <v>6280.08</v>
      </c>
      <c r="CH65" s="202"/>
      <c r="CI65" s="202"/>
      <c r="CJ65" s="209">
        <f>CG65/12</f>
        <v>523.34</v>
      </c>
      <c r="CK65" s="202"/>
      <c r="CL65" s="187"/>
      <c r="CM65" s="187"/>
      <c r="CX65" s="27"/>
      <c r="CY65" s="27"/>
      <c r="CZ65" s="120"/>
      <c r="DA65" s="120"/>
      <c r="DB65" s="119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</row>
    <row r="66" spans="1:130" ht="12">
      <c r="A66" s="10"/>
      <c r="B66" s="4"/>
      <c r="C66" s="10"/>
      <c r="D66" s="10"/>
      <c r="E66" s="10"/>
      <c r="F66" s="10"/>
      <c r="G66" s="10"/>
      <c r="H66" s="10"/>
      <c r="I66" s="10"/>
      <c r="J66" s="4"/>
      <c r="K66" s="4"/>
      <c r="L66" s="240"/>
      <c r="M66" s="10"/>
      <c r="BZ66" s="187"/>
      <c r="CA66" s="187"/>
      <c r="CB66" s="187"/>
      <c r="CC66" s="202" t="s">
        <v>108</v>
      </c>
      <c r="CD66" s="202"/>
      <c r="CE66" s="202"/>
      <c r="CF66" s="202"/>
      <c r="CG66" s="204">
        <f>CG64+CG65</f>
        <v>25641.352970158085</v>
      </c>
      <c r="CH66" s="202"/>
      <c r="CI66" s="202"/>
      <c r="CJ66" s="202"/>
      <c r="CK66" s="202"/>
      <c r="CL66" s="187"/>
      <c r="CM66" s="187"/>
      <c r="CX66" s="27"/>
      <c r="CY66" s="27"/>
      <c r="CZ66" s="120"/>
      <c r="DA66" s="120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</row>
    <row r="67" spans="1:130" ht="12">
      <c r="A67" s="10"/>
      <c r="B67" s="4"/>
      <c r="C67" s="10"/>
      <c r="D67" s="10"/>
      <c r="E67" s="10"/>
      <c r="F67" s="10"/>
      <c r="G67" s="10"/>
      <c r="H67" s="10"/>
      <c r="I67" s="10"/>
      <c r="J67" s="4"/>
      <c r="K67" s="4"/>
      <c r="L67" s="240"/>
      <c r="M67" s="10"/>
      <c r="BZ67" s="187"/>
      <c r="CA67" s="187"/>
      <c r="CB67" s="187"/>
      <c r="CC67" s="202" t="s">
        <v>142</v>
      </c>
      <c r="CD67" s="202"/>
      <c r="CE67" s="201">
        <f>CE38</f>
        <v>35</v>
      </c>
      <c r="CF67" s="201">
        <f>IF(CE37=12,0,CE37)</f>
        <v>7</v>
      </c>
      <c r="CG67" s="210"/>
      <c r="CH67" s="202"/>
      <c r="CI67" s="202"/>
      <c r="CJ67" s="202"/>
      <c r="CK67" s="202"/>
      <c r="CL67" s="187"/>
      <c r="CM67" s="187"/>
      <c r="CX67" s="27"/>
      <c r="CY67" s="27"/>
      <c r="CZ67" s="120"/>
      <c r="DA67" s="120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</row>
    <row r="68" spans="1:130" ht="12">
      <c r="A68" s="10"/>
      <c r="B68" s="4"/>
      <c r="C68" s="10"/>
      <c r="D68" s="10"/>
      <c r="E68" s="10"/>
      <c r="F68" s="10"/>
      <c r="G68" s="10"/>
      <c r="H68" s="10"/>
      <c r="I68" s="10"/>
      <c r="J68" s="4"/>
      <c r="K68" s="4"/>
      <c r="L68" s="240"/>
      <c r="M68" s="10"/>
      <c r="BZ68" s="187"/>
      <c r="CA68" s="187"/>
      <c r="CB68" s="187"/>
      <c r="CC68" s="202" t="s">
        <v>167</v>
      </c>
      <c r="CD68" s="202"/>
      <c r="CE68" s="211">
        <f>IF(CE42&gt;80,80,CE42)</f>
        <v>72.05</v>
      </c>
      <c r="CF68" s="212">
        <f>CE68/100*CE45</f>
        <v>0.7204999999999999</v>
      </c>
      <c r="CG68" s="210"/>
      <c r="CH68" s="202"/>
      <c r="CI68" s="202"/>
      <c r="CJ68" s="202"/>
      <c r="CK68" s="202"/>
      <c r="CL68" s="187"/>
      <c r="CM68" s="187"/>
      <c r="CX68" s="27"/>
      <c r="CY68" s="27"/>
      <c r="CZ68" s="27"/>
      <c r="DA68" s="27"/>
      <c r="DB68" s="124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</row>
    <row r="69" spans="1:130" ht="12">
      <c r="A69" s="26"/>
      <c r="B69" s="4"/>
      <c r="C69" s="10"/>
      <c r="D69" s="10"/>
      <c r="E69" s="10"/>
      <c r="F69" s="10"/>
      <c r="G69" s="10"/>
      <c r="H69" s="10"/>
      <c r="I69" s="10"/>
      <c r="J69" s="4"/>
      <c r="K69" s="4"/>
      <c r="L69" s="10"/>
      <c r="M69" s="10"/>
      <c r="BZ69" s="187"/>
      <c r="CA69" s="187"/>
      <c r="CB69" s="187"/>
      <c r="CC69" s="202" t="s">
        <v>45</v>
      </c>
      <c r="CD69" s="202"/>
      <c r="CE69" s="201">
        <f>B5</f>
        <v>16</v>
      </c>
      <c r="CF69" s="201">
        <f>C5</f>
        <v>10</v>
      </c>
      <c r="CG69" s="208"/>
      <c r="CH69" s="202"/>
      <c r="CI69" s="202"/>
      <c r="CJ69" s="202"/>
      <c r="CK69" s="202"/>
      <c r="CL69" s="187"/>
      <c r="CM69" s="187"/>
      <c r="CX69" s="27"/>
      <c r="CY69" s="27"/>
      <c r="CZ69" s="27"/>
      <c r="DA69" s="120"/>
      <c r="DB69" s="1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</row>
    <row r="70" spans="1:130" ht="12">
      <c r="A70" s="26"/>
      <c r="B70" s="4"/>
      <c r="C70" s="10"/>
      <c r="D70" s="10"/>
      <c r="E70" s="10"/>
      <c r="F70" s="10"/>
      <c r="G70" s="10"/>
      <c r="H70" s="10"/>
      <c r="I70" s="10"/>
      <c r="J70" s="4"/>
      <c r="K70" s="4"/>
      <c r="L70" s="10"/>
      <c r="M70" s="10"/>
      <c r="BZ70" s="187"/>
      <c r="CA70" s="187"/>
      <c r="CB70" s="187"/>
      <c r="CC70" s="202" t="s">
        <v>143</v>
      </c>
      <c r="CD70" s="202"/>
      <c r="CE70" s="211">
        <f>(CE69-15)*CE43+35+(CF69*0.15)</f>
        <v>38.3</v>
      </c>
      <c r="CF70" s="212">
        <f>CE70/100</f>
        <v>0.38299999999999995</v>
      </c>
      <c r="CG70" s="208"/>
      <c r="CH70" s="202"/>
      <c r="CI70" s="202"/>
      <c r="CJ70" s="202"/>
      <c r="CK70" s="202"/>
      <c r="CL70" s="187"/>
      <c r="CM70" s="187"/>
      <c r="CX70" s="27"/>
      <c r="CY70" s="27"/>
      <c r="CZ70" s="27"/>
      <c r="DA70" s="125"/>
      <c r="DB70" s="125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</row>
    <row r="71" spans="1:130" ht="12">
      <c r="A71" s="10"/>
      <c r="B71" s="4"/>
      <c r="C71" s="10"/>
      <c r="D71" s="10"/>
      <c r="E71" s="10"/>
      <c r="F71" s="10"/>
      <c r="G71" s="10"/>
      <c r="H71" s="10"/>
      <c r="I71" s="10"/>
      <c r="J71" s="10"/>
      <c r="K71" s="10"/>
      <c r="L71" s="246"/>
      <c r="M71" s="10"/>
      <c r="BZ71" s="187"/>
      <c r="CA71" s="187"/>
      <c r="CB71" s="187"/>
      <c r="CC71" s="213" t="s">
        <v>144</v>
      </c>
      <c r="CD71" s="202"/>
      <c r="CE71" s="202"/>
      <c r="CF71" s="213"/>
      <c r="CG71" s="214">
        <f>CG66*CF70</f>
        <v>9820.638187570545</v>
      </c>
      <c r="CH71" s="210"/>
      <c r="CI71" s="202"/>
      <c r="CJ71" s="202"/>
      <c r="CK71" s="202"/>
      <c r="CL71" s="187"/>
      <c r="CM71" s="187"/>
      <c r="CX71" s="141"/>
      <c r="CY71" s="27"/>
      <c r="CZ71" s="103"/>
      <c r="DA71" s="103"/>
      <c r="DB71" s="121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</row>
    <row r="72" spans="1:130" ht="12">
      <c r="A72" s="10"/>
      <c r="B72" s="4"/>
      <c r="C72" s="10"/>
      <c r="D72" s="10"/>
      <c r="E72" s="10"/>
      <c r="F72" s="10"/>
      <c r="G72" s="10"/>
      <c r="H72" s="10"/>
      <c r="I72" s="10"/>
      <c r="J72" s="10"/>
      <c r="K72" s="4"/>
      <c r="L72" s="4"/>
      <c r="M72" s="10"/>
      <c r="BZ72" s="187"/>
      <c r="CA72" s="187"/>
      <c r="CB72" s="187"/>
      <c r="CC72" s="202" t="s">
        <v>145</v>
      </c>
      <c r="CD72" s="202"/>
      <c r="CE72" s="201">
        <f>CE69+5</f>
        <v>21</v>
      </c>
      <c r="CF72" s="201">
        <f>CF69</f>
        <v>10</v>
      </c>
      <c r="CG72" s="210"/>
      <c r="CH72" s="210"/>
      <c r="CI72" s="202"/>
      <c r="CJ72" s="202"/>
      <c r="CK72" s="202"/>
      <c r="CL72" s="187"/>
      <c r="CM72" s="187"/>
      <c r="CX72" s="27"/>
      <c r="CY72" s="27"/>
      <c r="CZ72" s="149"/>
      <c r="DA72" s="103"/>
      <c r="DB72" s="121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</row>
    <row r="73" spans="1:130" ht="12">
      <c r="A73" s="10"/>
      <c r="B73" s="4"/>
      <c r="C73" s="10"/>
      <c r="D73" s="10"/>
      <c r="E73" s="10"/>
      <c r="F73" s="10"/>
      <c r="G73" s="10"/>
      <c r="H73" s="10"/>
      <c r="I73" s="10"/>
      <c r="J73" s="10"/>
      <c r="K73" s="247"/>
      <c r="L73" s="247"/>
      <c r="M73" s="10"/>
      <c r="BZ73" s="187"/>
      <c r="CA73" s="187"/>
      <c r="CB73" s="187"/>
      <c r="CC73" s="202" t="s">
        <v>146</v>
      </c>
      <c r="CD73" s="202"/>
      <c r="CE73" s="211">
        <f>(CE72-15)*CE44+35+(CF72*0.15)</f>
        <v>47.3</v>
      </c>
      <c r="CF73" s="212">
        <f>CE73/100*CE45</f>
        <v>0.473</v>
      </c>
      <c r="CG73" s="208"/>
      <c r="CH73" s="208"/>
      <c r="CI73" s="202"/>
      <c r="CJ73" s="202"/>
      <c r="CK73" s="202"/>
      <c r="CL73" s="187"/>
      <c r="CM73" s="187"/>
      <c r="CX73" s="27"/>
      <c r="CY73" s="27"/>
      <c r="CZ73" s="149"/>
      <c r="DA73" s="103"/>
      <c r="DB73" s="149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</row>
    <row r="74" spans="1:130" ht="12">
      <c r="A74" s="10"/>
      <c r="B74" s="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BZ74" s="187"/>
      <c r="CA74" s="187"/>
      <c r="CB74" s="187"/>
      <c r="CC74" s="202" t="s">
        <v>147</v>
      </c>
      <c r="CD74" s="202"/>
      <c r="CE74" s="211">
        <f>CE73-CE70</f>
        <v>9</v>
      </c>
      <c r="CF74" s="212">
        <f>CE74/100</f>
        <v>0.09</v>
      </c>
      <c r="CG74" s="208"/>
      <c r="CH74" s="208"/>
      <c r="CI74" s="202"/>
      <c r="CJ74" s="202"/>
      <c r="CK74" s="202"/>
      <c r="CL74" s="187"/>
      <c r="CM74" s="187"/>
      <c r="CX74" s="27"/>
      <c r="CY74" s="27"/>
      <c r="CZ74" s="149"/>
      <c r="DA74" s="103"/>
      <c r="DB74" s="149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</row>
    <row r="75" spans="1:130" ht="12">
      <c r="A75" s="10"/>
      <c r="B75" s="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BZ75" s="187"/>
      <c r="CA75" s="187"/>
      <c r="CB75" s="187"/>
      <c r="CC75" s="202" t="s">
        <v>148</v>
      </c>
      <c r="CD75" s="213"/>
      <c r="CE75" s="213"/>
      <c r="CF75" s="213"/>
      <c r="CG75" s="204">
        <f>VLOOKUP(CE61,Dati!A4:Q49,CE36)*CE45</f>
        <v>14399.089358382482</v>
      </c>
      <c r="CH75" s="208"/>
      <c r="CI75" s="202"/>
      <c r="CJ75" s="202"/>
      <c r="CK75" s="202"/>
      <c r="CL75" s="187"/>
      <c r="CM75" s="187"/>
      <c r="CX75" s="27"/>
      <c r="CY75" s="27"/>
      <c r="CZ75" s="149"/>
      <c r="DA75" s="103"/>
      <c r="DB75" s="149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</row>
    <row r="76" spans="1:130" ht="12">
      <c r="A76" s="10"/>
      <c r="B76" s="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BZ76" s="187"/>
      <c r="CA76" s="187"/>
      <c r="CB76" s="187"/>
      <c r="CC76" s="202" t="s">
        <v>149</v>
      </c>
      <c r="CD76" s="202"/>
      <c r="CE76" s="202"/>
      <c r="CF76" s="202"/>
      <c r="CG76" s="208">
        <f>CG75*1.18</f>
        <v>16990.925442891326</v>
      </c>
      <c r="CH76" s="208"/>
      <c r="CI76" s="202"/>
      <c r="CJ76" s="202"/>
      <c r="CK76" s="202"/>
      <c r="CL76" s="187"/>
      <c r="CM76" s="187"/>
      <c r="CX76" s="27"/>
      <c r="CY76" s="27"/>
      <c r="CZ76" s="150"/>
      <c r="DA76" s="103"/>
      <c r="DB76" s="149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</row>
    <row r="77" spans="1:130" ht="12">
      <c r="A77" s="10"/>
      <c r="B77" s="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BZ77" s="187"/>
      <c r="CA77" s="187"/>
      <c r="CB77" s="187"/>
      <c r="CC77" s="202" t="s">
        <v>150</v>
      </c>
      <c r="CD77" s="202"/>
      <c r="CE77" s="202"/>
      <c r="CF77" s="202"/>
      <c r="CG77" s="208">
        <f>VLOOKUP(BZ34,Dati!S18:U25,3)</f>
        <v>7013.1118712</v>
      </c>
      <c r="CH77" s="208"/>
      <c r="CI77" s="202"/>
      <c r="CJ77" s="202"/>
      <c r="CK77" s="202"/>
      <c r="CL77" s="187"/>
      <c r="CM77" s="187"/>
      <c r="CX77" s="141"/>
      <c r="CY77" s="27"/>
      <c r="CZ77" s="150"/>
      <c r="DA77" s="103"/>
      <c r="DB77" s="121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</row>
    <row r="78" spans="1:130" ht="12">
      <c r="A78" s="10"/>
      <c r="B78" s="4"/>
      <c r="C78" s="243"/>
      <c r="D78" s="10"/>
      <c r="E78" s="10"/>
      <c r="F78" s="10"/>
      <c r="G78" s="10"/>
      <c r="H78" s="10"/>
      <c r="I78" s="10"/>
      <c r="J78" s="10"/>
      <c r="K78" s="10"/>
      <c r="L78" s="10"/>
      <c r="M78" s="10"/>
      <c r="BZ78" s="187"/>
      <c r="CA78" s="187"/>
      <c r="CB78" s="187"/>
      <c r="CC78" s="202" t="s">
        <v>151</v>
      </c>
      <c r="CD78" s="202"/>
      <c r="CE78" s="202"/>
      <c r="CF78" s="215"/>
      <c r="CG78" s="208">
        <f>CG76+CG77+CJ78</f>
        <v>24004.037314091325</v>
      </c>
      <c r="CH78" s="208"/>
      <c r="CI78" s="202"/>
      <c r="CJ78" s="216"/>
      <c r="CK78" s="202"/>
      <c r="CL78" s="187"/>
      <c r="CM78" s="187"/>
      <c r="CX78" s="27"/>
      <c r="CY78" s="27"/>
      <c r="CZ78" s="151"/>
      <c r="DA78" s="103"/>
      <c r="DB78" s="121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</row>
    <row r="79" spans="1:130" ht="12">
      <c r="A79" s="10"/>
      <c r="B79" s="4"/>
      <c r="C79" s="243"/>
      <c r="D79" s="10"/>
      <c r="E79" s="10"/>
      <c r="F79" s="10"/>
      <c r="G79" s="10"/>
      <c r="H79" s="10"/>
      <c r="I79" s="10"/>
      <c r="J79" s="10"/>
      <c r="K79" s="10"/>
      <c r="L79" s="10"/>
      <c r="M79" s="10"/>
      <c r="BZ79" s="187"/>
      <c r="CA79" s="187"/>
      <c r="CB79" s="187"/>
      <c r="CC79" s="202" t="s">
        <v>46</v>
      </c>
      <c r="CD79" s="202"/>
      <c r="CE79" s="202"/>
      <c r="CF79" s="202"/>
      <c r="CG79" s="208">
        <f>CG78*CF74</f>
        <v>2160.363358268219</v>
      </c>
      <c r="CH79" s="208"/>
      <c r="CI79" s="202"/>
      <c r="CJ79" s="202"/>
      <c r="CK79" s="202"/>
      <c r="CL79" s="187"/>
      <c r="CM79" s="187"/>
      <c r="CX79" s="27"/>
      <c r="CY79" s="27"/>
      <c r="CZ79" s="151"/>
      <c r="DA79" s="103"/>
      <c r="DB79" s="121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</row>
    <row r="80" spans="1:130" ht="12">
      <c r="A80" s="10"/>
      <c r="B80" s="4"/>
      <c r="C80" s="243"/>
      <c r="D80" s="10"/>
      <c r="E80" s="10"/>
      <c r="F80" s="10"/>
      <c r="G80" s="10"/>
      <c r="H80" s="10"/>
      <c r="I80" s="10"/>
      <c r="J80" s="10"/>
      <c r="K80" s="10"/>
      <c r="L80" s="10"/>
      <c r="M80" s="10"/>
      <c r="BZ80" s="187"/>
      <c r="CA80" s="187"/>
      <c r="CB80" s="187"/>
      <c r="CC80" s="202" t="s">
        <v>152</v>
      </c>
      <c r="CD80" s="202"/>
      <c r="CE80" s="211">
        <f>CE68-CE73</f>
        <v>24.75</v>
      </c>
      <c r="CF80" s="212">
        <f>CE80/100</f>
        <v>0.2475</v>
      </c>
      <c r="CG80" s="208"/>
      <c r="CH80" s="208"/>
      <c r="CI80" s="202"/>
      <c r="CJ80" s="202"/>
      <c r="CK80" s="202"/>
      <c r="CL80" s="187"/>
      <c r="CM80" s="187"/>
      <c r="CX80" s="27"/>
      <c r="CY80" s="27"/>
      <c r="CZ80" s="151"/>
      <c r="DA80" s="103"/>
      <c r="DB80" s="121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</row>
    <row r="81" spans="1:130" ht="12">
      <c r="A81" s="10"/>
      <c r="B81" s="4"/>
      <c r="C81" s="245"/>
      <c r="D81" s="10"/>
      <c r="E81" s="10"/>
      <c r="F81" s="10"/>
      <c r="G81" s="10"/>
      <c r="H81" s="10"/>
      <c r="I81" s="10"/>
      <c r="J81" s="10"/>
      <c r="K81" s="10"/>
      <c r="L81" s="10"/>
      <c r="M81" s="10"/>
      <c r="BZ81" s="187"/>
      <c r="CA81" s="187"/>
      <c r="CB81" s="187"/>
      <c r="CC81" s="202" t="s">
        <v>153</v>
      </c>
      <c r="CD81" s="213"/>
      <c r="CE81" s="213"/>
      <c r="CF81" s="213"/>
      <c r="CG81" s="217">
        <f>Dati!AM15</f>
        <v>24004.037314091325</v>
      </c>
      <c r="CH81" s="217"/>
      <c r="CI81" s="202"/>
      <c r="CJ81" s="202"/>
      <c r="CK81" s="202"/>
      <c r="CL81" s="187"/>
      <c r="CM81" s="187"/>
      <c r="CX81" s="27"/>
      <c r="CY81" s="27"/>
      <c r="CZ81" s="151"/>
      <c r="DA81" s="103"/>
      <c r="DB81" s="121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</row>
    <row r="82" spans="1:130" ht="12">
      <c r="A82" s="10"/>
      <c r="B82" s="4"/>
      <c r="C82" s="243"/>
      <c r="D82" s="10"/>
      <c r="E82" s="10"/>
      <c r="F82" s="10"/>
      <c r="G82" s="10"/>
      <c r="H82" s="10"/>
      <c r="I82" s="10"/>
      <c r="J82" s="10"/>
      <c r="K82" s="10"/>
      <c r="L82" s="10"/>
      <c r="M82" s="10"/>
      <c r="BZ82" s="187"/>
      <c r="CA82" s="187"/>
      <c r="CB82" s="187"/>
      <c r="CC82" s="202" t="s">
        <v>47</v>
      </c>
      <c r="CD82" s="202"/>
      <c r="CE82" s="202"/>
      <c r="CF82" s="202"/>
      <c r="CG82" s="208">
        <f>CG81*CF80</f>
        <v>5940.999235237603</v>
      </c>
      <c r="CH82" s="208"/>
      <c r="CI82" s="202"/>
      <c r="CJ82" s="202"/>
      <c r="CK82" s="202"/>
      <c r="CL82" s="187"/>
      <c r="CM82" s="187"/>
      <c r="CX82" s="27"/>
      <c r="CY82" s="27"/>
      <c r="CZ82" s="151"/>
      <c r="DA82" s="103"/>
      <c r="DB82" s="121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</row>
    <row r="83" spans="1:130" ht="12">
      <c r="A83" s="10"/>
      <c r="B83" s="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BZ83" s="187"/>
      <c r="CA83" s="187"/>
      <c r="CB83" s="187"/>
      <c r="CC83" s="213" t="s">
        <v>154</v>
      </c>
      <c r="CD83" s="202"/>
      <c r="CE83" s="202"/>
      <c r="CF83" s="202"/>
      <c r="CG83" s="218">
        <f>CG79+CG82</f>
        <v>8101.362593505823</v>
      </c>
      <c r="CH83" s="218"/>
      <c r="CI83" s="202"/>
      <c r="CJ83" s="202"/>
      <c r="CK83" s="202"/>
      <c r="CL83" s="187"/>
      <c r="CM83" s="187"/>
      <c r="CX83" s="27"/>
      <c r="CY83" s="27"/>
      <c r="CZ83" s="147"/>
      <c r="DA83" s="152"/>
      <c r="DB83" s="121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</row>
    <row r="84" spans="1:130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BZ84" s="187"/>
      <c r="CA84" s="187"/>
      <c r="CB84" s="187"/>
      <c r="CC84" s="213" t="s">
        <v>168</v>
      </c>
      <c r="CD84" s="202"/>
      <c r="CE84" s="202"/>
      <c r="CF84" s="202"/>
      <c r="CG84" s="218">
        <f>CG71+CG83</f>
        <v>17922.000781076367</v>
      </c>
      <c r="CH84" s="218"/>
      <c r="CI84" s="202"/>
      <c r="CJ84" s="202"/>
      <c r="CK84" s="202"/>
      <c r="CL84" s="187"/>
      <c r="CM84" s="187"/>
      <c r="CX84" s="141"/>
      <c r="CY84" s="27"/>
      <c r="CZ84" s="125"/>
      <c r="DA84" s="125"/>
      <c r="DB84" s="121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</row>
    <row r="85" spans="1:130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BZ85" s="187"/>
      <c r="CA85" s="187"/>
      <c r="CB85" s="187"/>
      <c r="CC85" s="213" t="s">
        <v>155</v>
      </c>
      <c r="CD85" s="202"/>
      <c r="CE85" s="202"/>
      <c r="CF85" s="202"/>
      <c r="CG85" s="219">
        <f>CG84/12</f>
        <v>1493.5000650896973</v>
      </c>
      <c r="CH85" s="219"/>
      <c r="CI85" s="202"/>
      <c r="CJ85" s="202"/>
      <c r="CK85" s="202"/>
      <c r="CL85" s="187"/>
      <c r="CM85" s="187"/>
      <c r="CX85" s="141"/>
      <c r="CY85" s="27"/>
      <c r="CZ85" s="125"/>
      <c r="DA85" s="125"/>
      <c r="DB85" s="121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</row>
    <row r="86" spans="78:130" ht="12">
      <c r="BZ86" s="187"/>
      <c r="CA86" s="187"/>
      <c r="CB86" s="187"/>
      <c r="CC86" s="202" t="s">
        <v>49</v>
      </c>
      <c r="CD86" s="202"/>
      <c r="CE86" s="202"/>
      <c r="CF86" s="216">
        <f>CF116</f>
        <v>292.91</v>
      </c>
      <c r="CG86" s="202"/>
      <c r="CH86" s="202"/>
      <c r="CI86" s="202"/>
      <c r="CJ86" s="202"/>
      <c r="CK86" s="202"/>
      <c r="CL86" s="187"/>
      <c r="CM86" s="187"/>
      <c r="CX86" s="27"/>
      <c r="CY86" s="27"/>
      <c r="CZ86" s="120"/>
      <c r="DA86" s="120"/>
      <c r="DB86" s="121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</row>
    <row r="87" spans="78:130" ht="12">
      <c r="BZ87" s="187"/>
      <c r="CA87" s="187"/>
      <c r="CB87" s="187"/>
      <c r="CC87" s="202" t="s">
        <v>156</v>
      </c>
      <c r="CD87" s="202"/>
      <c r="CE87" s="202"/>
      <c r="CF87" s="216">
        <f>CF117</f>
        <v>100.63</v>
      </c>
      <c r="CG87" s="216"/>
      <c r="CH87" s="216"/>
      <c r="CI87" s="202"/>
      <c r="CJ87" s="202"/>
      <c r="CK87" s="202"/>
      <c r="CL87" s="187"/>
      <c r="CM87" s="187"/>
      <c r="CX87" s="27"/>
      <c r="CY87" s="27"/>
      <c r="CZ87" s="103"/>
      <c r="DA87" s="103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</row>
    <row r="88" spans="78:130" ht="12">
      <c r="BZ88" s="187"/>
      <c r="CA88" s="187"/>
      <c r="CB88" s="187"/>
      <c r="CC88" s="202" t="s">
        <v>157</v>
      </c>
      <c r="CD88" s="202"/>
      <c r="CE88" s="202"/>
      <c r="CF88" s="216">
        <f>CF118</f>
        <v>0</v>
      </c>
      <c r="CG88" s="216"/>
      <c r="CH88" s="216"/>
      <c r="CI88" s="202"/>
      <c r="CJ88" s="202"/>
      <c r="CK88" s="202"/>
      <c r="CL88" s="187"/>
      <c r="CM88" s="187"/>
      <c r="CX88" s="27"/>
      <c r="CY88" s="27"/>
      <c r="CZ88" s="103"/>
      <c r="DA88" s="103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</row>
    <row r="89" spans="78:130" ht="12">
      <c r="BZ89" s="187"/>
      <c r="CA89" s="187"/>
      <c r="CB89" s="187"/>
      <c r="CC89" s="202" t="s">
        <v>158</v>
      </c>
      <c r="CD89" s="202"/>
      <c r="CE89" s="202"/>
      <c r="CF89" s="202"/>
      <c r="CG89" s="216">
        <f>IF(CF141&lt;0,0,CF141)</f>
        <v>0</v>
      </c>
      <c r="CH89" s="216"/>
      <c r="CI89" s="202"/>
      <c r="CJ89" s="202"/>
      <c r="CK89" s="202"/>
      <c r="CL89" s="187"/>
      <c r="CM89" s="187"/>
      <c r="CX89" s="141"/>
      <c r="CY89" s="141"/>
      <c r="CZ89" s="153"/>
      <c r="DA89" s="153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</row>
    <row r="90" spans="78:130" ht="12">
      <c r="BZ90" s="187"/>
      <c r="CA90" s="187"/>
      <c r="CB90" s="187"/>
      <c r="CC90" s="213" t="s">
        <v>159</v>
      </c>
      <c r="CD90" s="202"/>
      <c r="CE90" s="202"/>
      <c r="CF90" s="202"/>
      <c r="CG90" s="219">
        <f>CG85-CG89</f>
        <v>1493.5000650896973</v>
      </c>
      <c r="CH90" s="220"/>
      <c r="CI90" s="202"/>
      <c r="CJ90" s="202"/>
      <c r="CK90" s="202"/>
      <c r="CL90" s="187"/>
      <c r="CM90" s="18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</row>
    <row r="91" spans="78:130" ht="12">
      <c r="BZ91" s="187"/>
      <c r="CA91" s="187"/>
      <c r="CB91" s="187"/>
      <c r="CC91" s="202"/>
      <c r="CD91" s="202"/>
      <c r="CE91" s="202"/>
      <c r="CF91" s="202"/>
      <c r="CG91" s="202"/>
      <c r="CH91" s="202"/>
      <c r="CI91" s="202"/>
      <c r="CJ91" s="202"/>
      <c r="CK91" s="202"/>
      <c r="CL91" s="187"/>
      <c r="CM91" s="18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</row>
    <row r="92" spans="78:130" ht="12">
      <c r="BZ92" s="187" t="s">
        <v>92</v>
      </c>
      <c r="CA92" s="187"/>
      <c r="CB92" s="187"/>
      <c r="CC92" s="202"/>
      <c r="CD92" s="202"/>
      <c r="CE92" s="202"/>
      <c r="CF92" s="202"/>
      <c r="CG92" s="202"/>
      <c r="CH92" s="202"/>
      <c r="CI92" s="202"/>
      <c r="CJ92" s="202"/>
      <c r="CK92" s="202"/>
      <c r="CL92" s="187"/>
      <c r="CM92" s="187"/>
      <c r="CX92" s="27"/>
      <c r="CY92" s="27"/>
      <c r="CZ92" s="150"/>
      <c r="DA92" s="103"/>
      <c r="DB92" s="148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</row>
    <row r="93" spans="78:130" ht="12">
      <c r="BZ93" s="187"/>
      <c r="CA93" s="187"/>
      <c r="CB93" s="187"/>
      <c r="CC93" s="191">
        <v>2011</v>
      </c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X93" s="27"/>
      <c r="CY93" s="27"/>
      <c r="CZ93" s="103"/>
      <c r="DA93" s="103"/>
      <c r="DB93" s="103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</row>
    <row r="94" spans="78:130" ht="12">
      <c r="BZ94" s="187"/>
      <c r="CA94" s="187"/>
      <c r="CB94" s="187"/>
      <c r="CC94" s="187" t="s">
        <v>160</v>
      </c>
      <c r="CD94" s="187"/>
      <c r="CE94" s="188">
        <f>IF(CE34&gt;45,45,CE34)</f>
        <v>35</v>
      </c>
      <c r="CF94" s="187"/>
      <c r="CG94" s="221">
        <f>CG61</f>
        <v>1367.3215374405427</v>
      </c>
      <c r="CH94" s="187"/>
      <c r="CI94" s="187"/>
      <c r="CJ94" s="187"/>
      <c r="CK94" s="187"/>
      <c r="CL94" s="187"/>
      <c r="CM94" s="187"/>
      <c r="CX94" s="27"/>
      <c r="CY94" s="27"/>
      <c r="CZ94" s="103"/>
      <c r="DA94" s="103"/>
      <c r="DB94" s="103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</row>
    <row r="95" spans="78:130" ht="12">
      <c r="BZ95" s="187"/>
      <c r="CA95" s="187"/>
      <c r="CB95" s="187"/>
      <c r="CC95" s="187" t="s">
        <v>162</v>
      </c>
      <c r="CD95" s="187"/>
      <c r="CE95" s="187"/>
      <c r="CF95" s="187"/>
      <c r="CG95" s="222">
        <f>CG62</f>
        <v>16407.858449286512</v>
      </c>
      <c r="CH95" s="187"/>
      <c r="CI95" s="187"/>
      <c r="CJ95" s="187"/>
      <c r="CK95" s="187"/>
      <c r="CL95" s="187"/>
      <c r="CM95" s="187"/>
      <c r="CX95" s="27"/>
      <c r="CY95" s="27"/>
      <c r="CZ95" s="103"/>
      <c r="DA95" s="154"/>
      <c r="DB95" s="103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</row>
    <row r="96" spans="78:130" ht="12">
      <c r="BZ96" s="187"/>
      <c r="CA96" s="187"/>
      <c r="CB96" s="187"/>
      <c r="CC96" s="187" t="s">
        <v>163</v>
      </c>
      <c r="CD96" s="187"/>
      <c r="CE96" s="187"/>
      <c r="CF96" s="187"/>
      <c r="CG96" s="221">
        <f>CG63</f>
        <v>16407.858449286512</v>
      </c>
      <c r="CH96" s="187"/>
      <c r="CI96" s="187"/>
      <c r="CJ96" s="187"/>
      <c r="CK96" s="187"/>
      <c r="CL96" s="187"/>
      <c r="CM96" s="187"/>
      <c r="CX96" s="141"/>
      <c r="CY96" s="141"/>
      <c r="CZ96" s="153"/>
      <c r="DA96" s="27"/>
      <c r="DB96" s="121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</row>
    <row r="97" spans="78:130" ht="12">
      <c r="BZ97" s="187"/>
      <c r="CA97" s="187"/>
      <c r="CB97" s="187"/>
      <c r="CC97" s="187" t="s">
        <v>164</v>
      </c>
      <c r="CD97" s="187"/>
      <c r="CE97" s="187"/>
      <c r="CF97" s="187"/>
      <c r="CG97" s="221">
        <f>CG64</f>
        <v>19361.272970158083</v>
      </c>
      <c r="CH97" s="187"/>
      <c r="CI97" s="187"/>
      <c r="CJ97" s="187"/>
      <c r="CK97" s="187"/>
      <c r="CL97" s="187"/>
      <c r="CM97" s="18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</row>
    <row r="98" spans="78:130" ht="12">
      <c r="BZ98" s="187"/>
      <c r="CA98" s="187"/>
      <c r="CB98" s="187"/>
      <c r="CC98" s="187" t="s">
        <v>165</v>
      </c>
      <c r="CD98" s="187"/>
      <c r="CE98" s="187"/>
      <c r="CF98" s="187"/>
      <c r="CG98" s="221">
        <f>CG66</f>
        <v>25641.352970158085</v>
      </c>
      <c r="CH98" s="187"/>
      <c r="CI98" s="187"/>
      <c r="CJ98" s="187"/>
      <c r="CK98" s="187"/>
      <c r="CL98" s="187"/>
      <c r="CM98" s="18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</row>
    <row r="99" spans="78:130" ht="12">
      <c r="BZ99" s="187"/>
      <c r="CA99" s="187"/>
      <c r="CB99" s="187"/>
      <c r="CC99" s="187" t="s">
        <v>108</v>
      </c>
      <c r="CD99" s="187"/>
      <c r="CE99" s="187"/>
      <c r="CF99" s="187"/>
      <c r="CG99" s="221"/>
      <c r="CH99" s="187"/>
      <c r="CI99" s="187"/>
      <c r="CJ99" s="187"/>
      <c r="CK99" s="187"/>
      <c r="CL99" s="187"/>
      <c r="CM99" s="187"/>
      <c r="CX99" s="27"/>
      <c r="CY99" s="27"/>
      <c r="CZ99" s="27"/>
      <c r="DA99" s="27"/>
      <c r="DB99" s="121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</row>
    <row r="100" spans="78:130" ht="12">
      <c r="BZ100" s="187"/>
      <c r="CA100" s="187"/>
      <c r="CB100" s="187"/>
      <c r="CC100" s="187" t="s">
        <v>166</v>
      </c>
      <c r="CD100" s="187"/>
      <c r="CE100" s="191">
        <f aca="true" t="shared" si="1" ref="CE100:CF103">CE67</f>
        <v>35</v>
      </c>
      <c r="CF100" s="191">
        <f t="shared" si="1"/>
        <v>7</v>
      </c>
      <c r="CG100" s="221"/>
      <c r="CH100" s="187"/>
      <c r="CI100" s="187"/>
      <c r="CJ100" s="187"/>
      <c r="CK100" s="187"/>
      <c r="CL100" s="187"/>
      <c r="CM100" s="18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</row>
    <row r="101" spans="78:130" ht="12">
      <c r="BZ101" s="187"/>
      <c r="CA101" s="187"/>
      <c r="CB101" s="187"/>
      <c r="CC101" s="187" t="s">
        <v>167</v>
      </c>
      <c r="CD101" s="187"/>
      <c r="CE101" s="191">
        <f t="shared" si="1"/>
        <v>72.05</v>
      </c>
      <c r="CF101" s="191">
        <f t="shared" si="1"/>
        <v>0.7204999999999999</v>
      </c>
      <c r="CG101" s="221"/>
      <c r="CH101" s="187"/>
      <c r="CI101" s="187"/>
      <c r="CJ101" s="187"/>
      <c r="CK101" s="187"/>
      <c r="CL101" s="187"/>
      <c r="CM101" s="187"/>
      <c r="CX101" s="141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</row>
    <row r="102" spans="78:130" ht="12">
      <c r="BZ102" s="187"/>
      <c r="CA102" s="187"/>
      <c r="CB102" s="187"/>
      <c r="CC102" s="187" t="s">
        <v>45</v>
      </c>
      <c r="CD102" s="187"/>
      <c r="CE102" s="191">
        <f t="shared" si="1"/>
        <v>16</v>
      </c>
      <c r="CF102" s="191">
        <f t="shared" si="1"/>
        <v>10</v>
      </c>
      <c r="CG102" s="221"/>
      <c r="CH102" s="187"/>
      <c r="CI102" s="187"/>
      <c r="CJ102" s="187"/>
      <c r="CK102" s="187"/>
      <c r="CL102" s="187"/>
      <c r="CM102" s="187"/>
      <c r="CX102" s="27"/>
      <c r="CY102" s="27"/>
      <c r="CZ102" s="27"/>
      <c r="DA102" s="27"/>
      <c r="DB102" s="121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</row>
    <row r="103" spans="78:130" ht="12">
      <c r="BZ103" s="187"/>
      <c r="CA103" s="187"/>
      <c r="CB103" s="187"/>
      <c r="CC103" s="187" t="s">
        <v>143</v>
      </c>
      <c r="CD103" s="187"/>
      <c r="CE103" s="191">
        <f t="shared" si="1"/>
        <v>38.3</v>
      </c>
      <c r="CF103" s="191">
        <f t="shared" si="1"/>
        <v>0.38299999999999995</v>
      </c>
      <c r="CG103" s="221"/>
      <c r="CH103" s="187"/>
      <c r="CI103" s="187"/>
      <c r="CJ103" s="187"/>
      <c r="CK103" s="187"/>
      <c r="CL103" s="187"/>
      <c r="CM103" s="187"/>
      <c r="CX103" s="27"/>
      <c r="CY103" s="27"/>
      <c r="CZ103" s="155"/>
      <c r="DA103" s="27"/>
      <c r="DB103" s="121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</row>
    <row r="104" spans="78:130" ht="12">
      <c r="BZ104" s="187"/>
      <c r="CA104" s="187"/>
      <c r="CB104" s="187"/>
      <c r="CC104" s="223" t="s">
        <v>144</v>
      </c>
      <c r="CD104" s="187"/>
      <c r="CE104" s="187"/>
      <c r="CF104" s="187"/>
      <c r="CG104" s="224">
        <f>CG71</f>
        <v>9820.638187570545</v>
      </c>
      <c r="CH104" s="187"/>
      <c r="CI104" s="187"/>
      <c r="CJ104" s="187"/>
      <c r="CK104" s="187"/>
      <c r="CL104" s="187"/>
      <c r="CM104" s="187"/>
      <c r="CX104" s="141"/>
      <c r="CY104" s="141"/>
      <c r="CZ104" s="153"/>
      <c r="DA104" s="153"/>
      <c r="DB104" s="121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</row>
    <row r="105" spans="78:130" ht="12">
      <c r="BZ105" s="187"/>
      <c r="CA105" s="187"/>
      <c r="CB105" s="187"/>
      <c r="CC105" s="187" t="s">
        <v>145</v>
      </c>
      <c r="CD105" s="187"/>
      <c r="CE105" s="191">
        <f aca="true" t="shared" si="2" ref="CE105:CF107">CE72</f>
        <v>21</v>
      </c>
      <c r="CF105" s="225">
        <f t="shared" si="2"/>
        <v>10</v>
      </c>
      <c r="CG105" s="221"/>
      <c r="CH105" s="187"/>
      <c r="CI105" s="187"/>
      <c r="CJ105" s="187"/>
      <c r="CK105" s="187"/>
      <c r="CL105" s="187"/>
      <c r="CM105" s="187"/>
      <c r="CX105" s="141"/>
      <c r="CY105" s="141"/>
      <c r="CZ105" s="153"/>
      <c r="DA105" s="153"/>
      <c r="DB105" s="121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</row>
    <row r="106" spans="78:130" ht="12">
      <c r="BZ106" s="187"/>
      <c r="CA106" s="187"/>
      <c r="CB106" s="187"/>
      <c r="CC106" s="187" t="s">
        <v>146</v>
      </c>
      <c r="CD106" s="187"/>
      <c r="CE106" s="191">
        <f t="shared" si="2"/>
        <v>47.3</v>
      </c>
      <c r="CF106" s="226">
        <f t="shared" si="2"/>
        <v>0.473</v>
      </c>
      <c r="CG106" s="221"/>
      <c r="CH106" s="187"/>
      <c r="CI106" s="187"/>
      <c r="CJ106" s="187"/>
      <c r="CK106" s="187"/>
      <c r="CL106" s="187"/>
      <c r="CM106" s="187"/>
      <c r="CX106" s="141"/>
      <c r="CY106" s="141"/>
      <c r="CZ106" s="153"/>
      <c r="DA106" s="153"/>
      <c r="DB106" s="121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</row>
    <row r="107" spans="78:130" ht="12">
      <c r="BZ107" s="187"/>
      <c r="CA107" s="187"/>
      <c r="CB107" s="187"/>
      <c r="CC107" s="187" t="s">
        <v>147</v>
      </c>
      <c r="CD107" s="187"/>
      <c r="CE107" s="227">
        <f t="shared" si="2"/>
        <v>9</v>
      </c>
      <c r="CF107" s="228">
        <f t="shared" si="2"/>
        <v>0.09</v>
      </c>
      <c r="CG107" s="221"/>
      <c r="CH107" s="187"/>
      <c r="CI107" s="187"/>
      <c r="CJ107" s="187"/>
      <c r="CK107" s="187"/>
      <c r="CL107" s="187"/>
      <c r="CM107" s="187"/>
      <c r="CX107" s="27"/>
      <c r="CY107" s="27"/>
      <c r="CZ107" s="27"/>
      <c r="DA107" s="27"/>
      <c r="DB107" s="121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</row>
    <row r="108" spans="78:130" ht="12">
      <c r="BZ108" s="187"/>
      <c r="CA108" s="187"/>
      <c r="CB108" s="187"/>
      <c r="CC108" s="187" t="s">
        <v>151</v>
      </c>
      <c r="CD108" s="187"/>
      <c r="CE108" s="187"/>
      <c r="CF108" s="187"/>
      <c r="CG108" s="221">
        <f>CG78</f>
        <v>24004.037314091325</v>
      </c>
      <c r="CH108" s="187"/>
      <c r="CI108" s="187"/>
      <c r="CJ108" s="187"/>
      <c r="CK108" s="187"/>
      <c r="CL108" s="187"/>
      <c r="CM108" s="187"/>
      <c r="CX108" s="141"/>
      <c r="CY108" s="27"/>
      <c r="CZ108" s="27"/>
      <c r="DA108" s="27"/>
      <c r="DB108" s="121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</row>
    <row r="109" spans="78:130" ht="12">
      <c r="BZ109" s="187"/>
      <c r="CA109" s="187"/>
      <c r="CB109" s="187"/>
      <c r="CC109" s="187" t="s">
        <v>46</v>
      </c>
      <c r="CD109" s="187"/>
      <c r="CE109" s="187"/>
      <c r="CF109" s="187"/>
      <c r="CG109" s="221">
        <f>CG79</f>
        <v>2160.363358268219</v>
      </c>
      <c r="CH109" s="187"/>
      <c r="CI109" s="187"/>
      <c r="CJ109" s="187"/>
      <c r="CK109" s="187"/>
      <c r="CL109" s="187"/>
      <c r="CM109" s="187"/>
      <c r="CX109" s="27"/>
      <c r="CY109" s="27"/>
      <c r="CZ109" s="150"/>
      <c r="DA109" s="103"/>
      <c r="DB109" s="121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</row>
    <row r="110" spans="78:130" ht="12">
      <c r="BZ110" s="187"/>
      <c r="CA110" s="187"/>
      <c r="CB110" s="187"/>
      <c r="CC110" s="187" t="s">
        <v>152</v>
      </c>
      <c r="CD110" s="187"/>
      <c r="CE110" s="194">
        <f>CE80</f>
        <v>24.75</v>
      </c>
      <c r="CF110" s="229">
        <f>CF80</f>
        <v>0.2475</v>
      </c>
      <c r="CG110" s="221"/>
      <c r="CH110" s="187"/>
      <c r="CI110" s="187"/>
      <c r="CJ110" s="187"/>
      <c r="CK110" s="187"/>
      <c r="CL110" s="187"/>
      <c r="CM110" s="187"/>
      <c r="CX110" s="27"/>
      <c r="CY110" s="27"/>
      <c r="CZ110" s="103"/>
      <c r="DA110" s="103"/>
      <c r="DB110" s="103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</row>
    <row r="111" spans="78:130" ht="12">
      <c r="BZ111" s="187"/>
      <c r="CA111" s="187"/>
      <c r="CB111" s="187"/>
      <c r="CC111" s="187" t="s">
        <v>153</v>
      </c>
      <c r="CD111" s="187"/>
      <c r="CE111" s="187"/>
      <c r="CF111" s="187"/>
      <c r="CG111" s="221">
        <f>CG81</f>
        <v>24004.037314091325</v>
      </c>
      <c r="CH111" s="187"/>
      <c r="CI111" s="187"/>
      <c r="CJ111" s="187"/>
      <c r="CK111" s="187"/>
      <c r="CL111" s="187"/>
      <c r="CM111" s="187"/>
      <c r="CX111" s="27"/>
      <c r="CY111" s="27"/>
      <c r="CZ111" s="103"/>
      <c r="DA111" s="103"/>
      <c r="DB111" s="103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</row>
    <row r="112" spans="78:130" ht="12">
      <c r="BZ112" s="187"/>
      <c r="CA112" s="187"/>
      <c r="CB112" s="187"/>
      <c r="CC112" s="187" t="s">
        <v>47</v>
      </c>
      <c r="CD112" s="187"/>
      <c r="CE112" s="187"/>
      <c r="CF112" s="187"/>
      <c r="CG112" s="221">
        <f>CG82</f>
        <v>5940.999235237603</v>
      </c>
      <c r="CH112" s="187"/>
      <c r="CI112" s="187"/>
      <c r="CJ112" s="187"/>
      <c r="CK112" s="187"/>
      <c r="CL112" s="187"/>
      <c r="CM112" s="187"/>
      <c r="CX112" s="27"/>
      <c r="CY112" s="27"/>
      <c r="CZ112" s="103"/>
      <c r="DA112" s="154"/>
      <c r="DB112" s="103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</row>
    <row r="113" spans="78:130" ht="12">
      <c r="BZ113" s="187"/>
      <c r="CA113" s="187"/>
      <c r="CB113" s="187"/>
      <c r="CC113" s="223" t="s">
        <v>169</v>
      </c>
      <c r="CD113" s="223"/>
      <c r="CE113" s="223"/>
      <c r="CF113" s="223"/>
      <c r="CG113" s="221">
        <f>CG83</f>
        <v>8101.362593505823</v>
      </c>
      <c r="CH113" s="187"/>
      <c r="CI113" s="187"/>
      <c r="CJ113" s="187"/>
      <c r="CK113" s="187"/>
      <c r="CL113" s="187"/>
      <c r="CM113" s="187"/>
      <c r="CX113" s="141"/>
      <c r="CY113" s="141"/>
      <c r="CZ113" s="153"/>
      <c r="DA113" s="103"/>
      <c r="DB113" s="153"/>
      <c r="DC113" s="124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</row>
    <row r="114" spans="78:130" ht="12">
      <c r="BZ114" s="187"/>
      <c r="CA114" s="187"/>
      <c r="CB114" s="187"/>
      <c r="CC114" s="187" t="s">
        <v>170</v>
      </c>
      <c r="CD114" s="223"/>
      <c r="CE114" s="223"/>
      <c r="CF114" s="223"/>
      <c r="CG114" s="221">
        <f>CG84</f>
        <v>17922.000781076367</v>
      </c>
      <c r="CH114" s="187"/>
      <c r="CI114" s="187"/>
      <c r="CJ114" s="187"/>
      <c r="CK114" s="187"/>
      <c r="CL114" s="187"/>
      <c r="CM114" s="187"/>
      <c r="CX114" s="27"/>
      <c r="CY114" s="27"/>
      <c r="CZ114" s="27"/>
      <c r="DA114" s="27"/>
      <c r="DB114" s="121"/>
      <c r="DC114" s="27"/>
      <c r="DD114" s="130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</row>
    <row r="115" spans="78:130" ht="12">
      <c r="BZ115" s="187"/>
      <c r="CA115" s="187"/>
      <c r="CB115" s="187"/>
      <c r="CC115" s="223" t="s">
        <v>155</v>
      </c>
      <c r="CD115" s="187"/>
      <c r="CE115" s="187"/>
      <c r="CF115" s="187"/>
      <c r="CG115" s="221">
        <f>CG85</f>
        <v>1493.5000650896973</v>
      </c>
      <c r="CH115" s="187"/>
      <c r="CI115" s="187"/>
      <c r="CJ115" s="187"/>
      <c r="CK115" s="187"/>
      <c r="CL115" s="187"/>
      <c r="CM115" s="187"/>
      <c r="CX115" s="27"/>
      <c r="CY115" s="27"/>
      <c r="CZ115" s="121"/>
      <c r="DA115" s="27"/>
      <c r="DB115" s="121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</row>
    <row r="116" spans="78:130" ht="12">
      <c r="BZ116" s="187"/>
      <c r="CA116" s="187"/>
      <c r="CB116" s="187"/>
      <c r="CC116" s="187" t="s">
        <v>49</v>
      </c>
      <c r="CD116" s="187"/>
      <c r="CE116" s="187"/>
      <c r="CF116" s="221">
        <v>292.91</v>
      </c>
      <c r="CG116" s="187"/>
      <c r="CH116" s="187"/>
      <c r="CI116" s="187"/>
      <c r="CJ116" s="187"/>
      <c r="CK116" s="187"/>
      <c r="CL116" s="187"/>
      <c r="CM116" s="187"/>
      <c r="CX116" s="27"/>
      <c r="CY116" s="27"/>
      <c r="CZ116" s="156"/>
      <c r="DA116" s="27"/>
      <c r="DB116" s="121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</row>
    <row r="117" spans="78:130" ht="12">
      <c r="BZ117" s="187"/>
      <c r="CA117" s="187"/>
      <c r="CB117" s="187"/>
      <c r="CC117" s="187" t="s">
        <v>171</v>
      </c>
      <c r="CD117" s="187"/>
      <c r="CE117" s="187"/>
      <c r="CF117" s="230">
        <v>100.63</v>
      </c>
      <c r="CG117" s="221"/>
      <c r="CH117" s="187"/>
      <c r="CI117" s="187"/>
      <c r="CJ117" s="187"/>
      <c r="CK117" s="187"/>
      <c r="CL117" s="187"/>
      <c r="CM117" s="187"/>
      <c r="CX117" s="27"/>
      <c r="CY117" s="27"/>
      <c r="CZ117" s="156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</row>
    <row r="118" spans="78:130" ht="12">
      <c r="BZ118" s="187"/>
      <c r="CA118" s="187"/>
      <c r="CB118" s="187"/>
      <c r="CC118" s="187" t="s">
        <v>157</v>
      </c>
      <c r="CD118" s="187"/>
      <c r="CE118" s="187"/>
      <c r="CF118" s="230">
        <v>0</v>
      </c>
      <c r="CG118" s="221"/>
      <c r="CH118" s="187"/>
      <c r="CI118" s="187"/>
      <c r="CJ118" s="187"/>
      <c r="CK118" s="187"/>
      <c r="CL118" s="187"/>
      <c r="CM118" s="187"/>
      <c r="CX118" s="27"/>
      <c r="CY118" s="27"/>
      <c r="CZ118" s="156"/>
      <c r="DA118" s="27"/>
      <c r="DB118" s="118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</row>
    <row r="119" spans="78:130" ht="12">
      <c r="BZ119" s="187"/>
      <c r="CA119" s="187"/>
      <c r="CB119" s="187"/>
      <c r="CC119" s="187" t="s">
        <v>158</v>
      </c>
      <c r="CD119" s="187"/>
      <c r="CE119" s="187"/>
      <c r="CF119" s="187"/>
      <c r="CG119" s="221">
        <v>192.28</v>
      </c>
      <c r="CH119" s="187"/>
      <c r="CI119" s="187"/>
      <c r="CJ119" s="187"/>
      <c r="CK119" s="187"/>
      <c r="CL119" s="187"/>
      <c r="CM119" s="187"/>
      <c r="CX119" s="27"/>
      <c r="CY119" s="27"/>
      <c r="CZ119" s="156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</row>
    <row r="120" spans="78:130" ht="12">
      <c r="BZ120" s="187"/>
      <c r="CA120" s="187"/>
      <c r="CB120" s="187"/>
      <c r="CC120" s="223" t="s">
        <v>159</v>
      </c>
      <c r="CD120" s="231"/>
      <c r="CE120" s="187"/>
      <c r="CF120" s="187"/>
      <c r="CG120" s="221">
        <v>1077.7549495241392</v>
      </c>
      <c r="CH120" s="187"/>
      <c r="CI120" s="187"/>
      <c r="CJ120" s="187"/>
      <c r="CK120" s="187"/>
      <c r="CL120" s="187"/>
      <c r="CM120" s="18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</row>
    <row r="121" spans="78:130" ht="12"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</row>
    <row r="122" spans="78:130" ht="12"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X122" s="27"/>
      <c r="CY122" s="27"/>
      <c r="CZ122" s="150"/>
      <c r="DA122" s="103"/>
      <c r="DB122" s="121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</row>
    <row r="123" spans="78:130" ht="12"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/>
      <c r="CK123" s="187"/>
      <c r="CL123" s="187"/>
      <c r="CM123" s="187"/>
      <c r="CX123" s="27"/>
      <c r="CY123" s="27"/>
      <c r="CZ123" s="103"/>
      <c r="DA123" s="103"/>
      <c r="DB123" s="103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</row>
    <row r="124" spans="78:130" ht="12">
      <c r="BZ124" s="187"/>
      <c r="CA124" s="187"/>
      <c r="CB124" s="187"/>
      <c r="CC124" s="223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X124" s="27"/>
      <c r="CY124" s="27"/>
      <c r="CZ124" s="103"/>
      <c r="DA124" s="103"/>
      <c r="DB124" s="103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</row>
    <row r="125" spans="78:130" ht="12">
      <c r="BZ125" s="187"/>
      <c r="CA125" s="187"/>
      <c r="CB125" s="187"/>
      <c r="CC125" s="223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X125" s="27"/>
      <c r="CY125" s="27"/>
      <c r="CZ125" s="103"/>
      <c r="DA125" s="154"/>
      <c r="DB125" s="103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</row>
    <row r="126" spans="78:130" ht="12">
      <c r="BZ126" s="187"/>
      <c r="CA126" s="187"/>
      <c r="CB126" s="187"/>
      <c r="CC126" s="223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X126" s="141"/>
      <c r="CY126" s="141"/>
      <c r="CZ126" s="153"/>
      <c r="DA126" s="103"/>
      <c r="DB126" s="153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</row>
    <row r="127" spans="78:130" ht="12">
      <c r="BZ127" s="187"/>
      <c r="CA127" s="187"/>
      <c r="CB127" s="187"/>
      <c r="CC127" s="223"/>
      <c r="CD127" s="187"/>
      <c r="CE127" s="187"/>
      <c r="CF127" s="187"/>
      <c r="CG127" s="187"/>
      <c r="CH127" s="187"/>
      <c r="CI127" s="187"/>
      <c r="CJ127" s="187"/>
      <c r="CK127" s="187"/>
      <c r="CL127" s="187"/>
      <c r="CM127" s="18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</row>
    <row r="128" spans="78:130" ht="12">
      <c r="BZ128" s="187"/>
      <c r="CA128" s="187"/>
      <c r="CB128" s="187"/>
      <c r="CC128" s="223"/>
      <c r="CD128" s="187"/>
      <c r="CE128" s="187"/>
      <c r="CF128" s="187"/>
      <c r="CG128" s="187"/>
      <c r="CH128" s="187"/>
      <c r="CI128" s="187"/>
      <c r="CJ128" s="187"/>
      <c r="CK128" s="187"/>
      <c r="CL128" s="187"/>
      <c r="CM128" s="18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</row>
    <row r="129" spans="78:130" ht="12">
      <c r="BZ129" s="187"/>
      <c r="CA129" s="187"/>
      <c r="CB129" s="187"/>
      <c r="CC129" s="223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</row>
    <row r="130" spans="78:130" ht="12">
      <c r="BZ130" s="187"/>
      <c r="CA130" s="187"/>
      <c r="CB130" s="187"/>
      <c r="CC130" s="223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</row>
    <row r="131" spans="78:130" ht="12">
      <c r="BZ131" s="187"/>
      <c r="CA131" s="187"/>
      <c r="CB131" s="187"/>
      <c r="CC131" s="223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</row>
    <row r="132" spans="78:130" ht="12">
      <c r="BZ132" s="187"/>
      <c r="CA132" s="187"/>
      <c r="CB132" s="187"/>
      <c r="CC132" s="187"/>
      <c r="CD132" s="187"/>
      <c r="CE132" s="187"/>
      <c r="CF132" s="187"/>
      <c r="CG132" s="187"/>
      <c r="CH132" s="187"/>
      <c r="CI132" s="187"/>
      <c r="CJ132" s="187"/>
      <c r="CK132" s="187"/>
      <c r="CL132" s="187"/>
      <c r="CM132" s="18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</row>
    <row r="133" spans="78:130" ht="12">
      <c r="BZ133" s="187"/>
      <c r="CA133" s="187"/>
      <c r="CB133" s="187"/>
      <c r="CC133" s="187"/>
      <c r="CD133" s="187"/>
      <c r="CE133" s="187"/>
      <c r="CF133" s="187"/>
      <c r="CG133" s="187"/>
      <c r="CH133" s="187"/>
      <c r="CI133" s="187"/>
      <c r="CJ133" s="187"/>
      <c r="CK133" s="187"/>
      <c r="CL133" s="187"/>
      <c r="CM133" s="18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</row>
    <row r="134" spans="78:130" ht="12">
      <c r="BZ134" s="187"/>
      <c r="CA134" s="187"/>
      <c r="CB134" s="187"/>
      <c r="CC134" s="231"/>
      <c r="CD134" s="187"/>
      <c r="CE134" s="187"/>
      <c r="CF134" s="187"/>
      <c r="CG134" s="187"/>
      <c r="CH134" s="187"/>
      <c r="CI134" s="187"/>
      <c r="CJ134" s="187"/>
      <c r="CK134" s="187"/>
      <c r="CL134" s="187"/>
      <c r="CM134" s="18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</row>
    <row r="135" spans="78:130" ht="12">
      <c r="BZ135" s="187"/>
      <c r="CA135" s="187"/>
      <c r="CB135" s="187"/>
      <c r="CC135" s="187"/>
      <c r="CD135" s="187"/>
      <c r="CE135" s="187"/>
      <c r="CF135" s="187"/>
      <c r="CG135" s="187"/>
      <c r="CH135" s="187"/>
      <c r="CI135" s="187"/>
      <c r="CJ135" s="187"/>
      <c r="CK135" s="187"/>
      <c r="CL135" s="187"/>
      <c r="CM135" s="18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</row>
    <row r="136" spans="78:130" ht="12">
      <c r="BZ136" s="187"/>
      <c r="CA136" s="187"/>
      <c r="CB136" s="187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</row>
    <row r="137" spans="78:130" ht="12"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7"/>
      <c r="CL137" s="187"/>
      <c r="CM137" s="18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</row>
    <row r="138" spans="78:130" ht="12"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</row>
    <row r="139" spans="78:130" ht="12"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</row>
    <row r="140" spans="78:130" ht="12">
      <c r="BZ140" s="187"/>
      <c r="CA140" s="187"/>
      <c r="CB140" s="187"/>
      <c r="CC140" s="187"/>
      <c r="CD140" s="187"/>
      <c r="CE140" s="187"/>
      <c r="CF140" s="187"/>
      <c r="CG140" s="187"/>
      <c r="CH140" s="187"/>
      <c r="CI140" s="187"/>
      <c r="CJ140" s="187"/>
      <c r="CK140" s="187"/>
      <c r="CL140" s="187"/>
      <c r="CM140" s="18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</row>
    <row r="141" spans="78:130" ht="12">
      <c r="BZ141" s="187"/>
      <c r="CA141" s="187"/>
      <c r="CB141" s="187"/>
      <c r="CC141" s="187"/>
      <c r="CD141" s="187"/>
      <c r="CE141" s="187"/>
      <c r="CF141" s="187"/>
      <c r="CG141" s="187"/>
      <c r="CH141" s="187"/>
      <c r="CI141" s="187"/>
      <c r="CJ141" s="187"/>
      <c r="CK141" s="187"/>
      <c r="CL141" s="187"/>
      <c r="CM141" s="18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</row>
    <row r="142" spans="78:130" ht="12"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</row>
    <row r="143" spans="78:130" ht="12">
      <c r="BZ143" s="187"/>
      <c r="CA143" s="187"/>
      <c r="CB143" s="187"/>
      <c r="CC143" s="187"/>
      <c r="CD143" s="187"/>
      <c r="CE143" s="187"/>
      <c r="CF143" s="187"/>
      <c r="CG143" s="187"/>
      <c r="CH143" s="187"/>
      <c r="CI143" s="187"/>
      <c r="CJ143" s="187"/>
      <c r="CK143" s="187"/>
      <c r="CL143" s="187"/>
      <c r="CM143" s="18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</row>
    <row r="144" spans="78:130" ht="12">
      <c r="BZ144" s="187"/>
      <c r="CA144" s="187"/>
      <c r="CB144" s="187"/>
      <c r="CC144" s="187"/>
      <c r="CD144" s="187"/>
      <c r="CE144" s="187"/>
      <c r="CF144" s="187"/>
      <c r="CG144" s="187"/>
      <c r="CH144" s="187"/>
      <c r="CI144" s="187"/>
      <c r="CJ144" s="187"/>
      <c r="CK144" s="187"/>
      <c r="CL144" s="187"/>
      <c r="CM144" s="18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</row>
    <row r="145" spans="78:130" ht="12"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</row>
    <row r="146" spans="78:130" ht="12"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</row>
    <row r="147" spans="78:130" ht="12">
      <c r="BZ147" s="187"/>
      <c r="CA147" s="187"/>
      <c r="CB147" s="187"/>
      <c r="CC147" s="187"/>
      <c r="CD147" s="187"/>
      <c r="CE147" s="187"/>
      <c r="CF147" s="187"/>
      <c r="CG147" s="187"/>
      <c r="CH147" s="187"/>
      <c r="CI147" s="187"/>
      <c r="CJ147" s="187"/>
      <c r="CK147" s="187"/>
      <c r="CL147" s="187"/>
      <c r="CM147" s="18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</row>
    <row r="148" spans="78:130" ht="12"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</row>
    <row r="149" spans="78:130" ht="12">
      <c r="BZ149" s="187"/>
      <c r="CA149" s="187"/>
      <c r="CB149" s="187"/>
      <c r="CC149" s="187"/>
      <c r="CD149" s="187"/>
      <c r="CE149" s="187"/>
      <c r="CF149" s="187"/>
      <c r="CG149" s="187"/>
      <c r="CH149" s="187"/>
      <c r="CI149" s="187"/>
      <c r="CJ149" s="187"/>
      <c r="CK149" s="187"/>
      <c r="CL149" s="187"/>
      <c r="CM149" s="18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</row>
    <row r="150" spans="78:130" ht="12">
      <c r="BZ150" s="187"/>
      <c r="CA150" s="187"/>
      <c r="CB150" s="187"/>
      <c r="CC150" s="187"/>
      <c r="CD150" s="187"/>
      <c r="CE150" s="187"/>
      <c r="CF150" s="187"/>
      <c r="CG150" s="187"/>
      <c r="CH150" s="187"/>
      <c r="CI150" s="187"/>
      <c r="CJ150" s="187"/>
      <c r="CK150" s="187"/>
      <c r="CL150" s="187"/>
      <c r="CM150" s="18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</row>
    <row r="151" spans="78:130" ht="12"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187"/>
      <c r="CK151" s="187"/>
      <c r="CL151" s="187"/>
      <c r="CM151" s="18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</row>
    <row r="152" spans="78:130" ht="12"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</row>
    <row r="153" spans="78:130" ht="12">
      <c r="BZ153" s="187"/>
      <c r="CA153" s="187"/>
      <c r="CB153" s="187"/>
      <c r="CC153" s="187"/>
      <c r="CD153" s="187"/>
      <c r="CE153" s="187"/>
      <c r="CF153" s="187"/>
      <c r="CG153" s="187"/>
      <c r="CH153" s="187"/>
      <c r="CI153" s="187"/>
      <c r="CJ153" s="187"/>
      <c r="CK153" s="187"/>
      <c r="CL153" s="187"/>
      <c r="CM153" s="18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</row>
    <row r="154" spans="78:130" ht="12"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</row>
    <row r="155" spans="78:130" ht="12"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7"/>
      <c r="CM155" s="18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</row>
    <row r="156" spans="78:130" ht="12">
      <c r="BZ156" s="187"/>
      <c r="CA156" s="187"/>
      <c r="CB156" s="187"/>
      <c r="CC156" s="187"/>
      <c r="CD156" s="187"/>
      <c r="CE156" s="187"/>
      <c r="CF156" s="187"/>
      <c r="CG156" s="187"/>
      <c r="CH156" s="187"/>
      <c r="CI156" s="187"/>
      <c r="CJ156" s="187"/>
      <c r="CK156" s="187"/>
      <c r="CL156" s="187"/>
      <c r="CM156" s="18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</row>
    <row r="157" spans="78:130" ht="12"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187"/>
      <c r="CJ157" s="187"/>
      <c r="CK157" s="187"/>
      <c r="CL157" s="187"/>
      <c r="CM157" s="18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</row>
    <row r="158" spans="78:130" ht="12"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7"/>
      <c r="CL158" s="187"/>
      <c r="CM158" s="18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</row>
    <row r="159" spans="78:130" ht="12">
      <c r="BZ159" s="187"/>
      <c r="CA159" s="187"/>
      <c r="CB159" s="187"/>
      <c r="CC159" s="187"/>
      <c r="CD159" s="187"/>
      <c r="CE159" s="187"/>
      <c r="CF159" s="187"/>
      <c r="CG159" s="187"/>
      <c r="CH159" s="187"/>
      <c r="CI159" s="187"/>
      <c r="CJ159" s="187"/>
      <c r="CK159" s="187"/>
      <c r="CL159" s="187"/>
      <c r="CM159" s="18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</row>
    <row r="160" spans="78:130" ht="12"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7"/>
      <c r="CM160" s="18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</row>
    <row r="161" spans="78:130" ht="12">
      <c r="BZ161" s="187"/>
      <c r="CA161" s="187"/>
      <c r="CB161" s="187"/>
      <c r="CC161" s="187"/>
      <c r="CD161" s="187"/>
      <c r="CE161" s="187"/>
      <c r="CF161" s="187"/>
      <c r="CG161" s="187"/>
      <c r="CH161" s="187"/>
      <c r="CI161" s="187"/>
      <c r="CJ161" s="187"/>
      <c r="CK161" s="187"/>
      <c r="CL161" s="187"/>
      <c r="CM161" s="18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</row>
    <row r="162" spans="78:130" ht="12">
      <c r="BZ162" s="187"/>
      <c r="CA162" s="187"/>
      <c r="CB162" s="187"/>
      <c r="CC162" s="187"/>
      <c r="CD162" s="187"/>
      <c r="CE162" s="187"/>
      <c r="CF162" s="187"/>
      <c r="CG162" s="187"/>
      <c r="CH162" s="187"/>
      <c r="CI162" s="187"/>
      <c r="CJ162" s="187"/>
      <c r="CK162" s="187"/>
      <c r="CL162" s="187"/>
      <c r="CM162" s="18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</row>
    <row r="163" spans="78:130" ht="12">
      <c r="BZ163" s="187"/>
      <c r="CA163" s="187"/>
      <c r="CB163" s="187"/>
      <c r="CC163" s="187"/>
      <c r="CD163" s="187"/>
      <c r="CE163" s="187"/>
      <c r="CF163" s="187"/>
      <c r="CG163" s="187"/>
      <c r="CH163" s="187"/>
      <c r="CI163" s="187"/>
      <c r="CJ163" s="187"/>
      <c r="CK163" s="187"/>
      <c r="CL163" s="187"/>
      <c r="CM163" s="18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</row>
    <row r="164" spans="78:130" ht="12">
      <c r="BZ164" s="187"/>
      <c r="CA164" s="187"/>
      <c r="CB164" s="187"/>
      <c r="CC164" s="187"/>
      <c r="CD164" s="187"/>
      <c r="CE164" s="187"/>
      <c r="CF164" s="187"/>
      <c r="CG164" s="187"/>
      <c r="CH164" s="187"/>
      <c r="CI164" s="187"/>
      <c r="CJ164" s="187"/>
      <c r="CK164" s="187"/>
      <c r="CL164" s="187"/>
      <c r="CM164" s="18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</row>
    <row r="165" spans="78:130" ht="12">
      <c r="BZ165" s="187"/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7"/>
      <c r="CM165" s="18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</row>
    <row r="166" spans="78:130" ht="12">
      <c r="BZ166" s="187"/>
      <c r="CA166" s="187"/>
      <c r="CB166" s="187"/>
      <c r="CC166" s="187"/>
      <c r="CD166" s="187"/>
      <c r="CE166" s="187"/>
      <c r="CF166" s="187"/>
      <c r="CG166" s="187"/>
      <c r="CH166" s="187"/>
      <c r="CI166" s="187"/>
      <c r="CJ166" s="187"/>
      <c r="CK166" s="187"/>
      <c r="CL166" s="187"/>
      <c r="CM166" s="18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</row>
    <row r="167" spans="78:130" ht="12">
      <c r="BZ167" s="187"/>
      <c r="CA167" s="187"/>
      <c r="CB167" s="187"/>
      <c r="CC167" s="187"/>
      <c r="CD167" s="187"/>
      <c r="CE167" s="187"/>
      <c r="CF167" s="187"/>
      <c r="CG167" s="187"/>
      <c r="CH167" s="187"/>
      <c r="CI167" s="187"/>
      <c r="CJ167" s="187"/>
      <c r="CK167" s="187"/>
      <c r="CL167" s="187"/>
      <c r="CM167" s="18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</row>
    <row r="168" spans="78:130" ht="12"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</row>
    <row r="169" spans="78:130" ht="12">
      <c r="BZ169" s="187"/>
      <c r="CA169" s="187"/>
      <c r="CB169" s="187"/>
      <c r="CC169" s="187"/>
      <c r="CD169" s="187"/>
      <c r="CE169" s="187"/>
      <c r="CF169" s="187"/>
      <c r="CG169" s="187"/>
      <c r="CH169" s="187"/>
      <c r="CI169" s="187"/>
      <c r="CJ169" s="187"/>
      <c r="CK169" s="187"/>
      <c r="CL169" s="187"/>
      <c r="CM169" s="18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</row>
    <row r="170" spans="78:130" ht="12">
      <c r="BZ170" s="187"/>
      <c r="CA170" s="187"/>
      <c r="CB170" s="187"/>
      <c r="CC170" s="187"/>
      <c r="CD170" s="187"/>
      <c r="CE170" s="187"/>
      <c r="CF170" s="187"/>
      <c r="CG170" s="187"/>
      <c r="CH170" s="187"/>
      <c r="CI170" s="187"/>
      <c r="CJ170" s="187"/>
      <c r="CK170" s="187"/>
      <c r="CL170" s="187"/>
      <c r="CM170" s="18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</row>
    <row r="171" spans="78:130" ht="12"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</row>
    <row r="172" spans="78:130" ht="12">
      <c r="BZ172" s="187"/>
      <c r="CA172" s="187"/>
      <c r="CB172" s="187"/>
      <c r="CC172" s="187"/>
      <c r="CD172" s="187"/>
      <c r="CE172" s="187"/>
      <c r="CF172" s="187"/>
      <c r="CG172" s="187"/>
      <c r="CH172" s="187"/>
      <c r="CI172" s="187"/>
      <c r="CJ172" s="187"/>
      <c r="CK172" s="187"/>
      <c r="CL172" s="187"/>
      <c r="CM172" s="18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</row>
    <row r="173" spans="102:130" ht="12"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</row>
    <row r="174" spans="102:130" ht="12"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</row>
    <row r="175" spans="102:130" ht="12"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</row>
    <row r="176" spans="102:130" ht="12"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</row>
    <row r="177" spans="102:130" ht="12"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</row>
    <row r="178" spans="102:130" ht="12"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</row>
    <row r="179" spans="102:130" ht="12"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</row>
    <row r="180" spans="102:130" ht="12"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</row>
    <row r="181" spans="102:130" ht="12"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</row>
    <row r="182" spans="102:130" ht="12"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</row>
    <row r="183" spans="102:130" ht="12"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</row>
    <row r="184" spans="102:130" ht="12"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</row>
    <row r="185" spans="102:130" ht="12"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</row>
    <row r="186" spans="102:130" ht="12"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</row>
    <row r="187" spans="102:130" ht="12"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</row>
    <row r="188" spans="102:130" ht="12"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</row>
    <row r="189" spans="102:130" ht="12"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</row>
    <row r="190" spans="102:130" ht="12"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</row>
    <row r="191" spans="102:130" ht="12"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</row>
    <row r="192" spans="102:130" ht="12"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</row>
    <row r="193" spans="102:130" ht="12"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</row>
    <row r="194" spans="102:130" ht="12"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</row>
    <row r="195" spans="102:130" ht="12"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</row>
    <row r="196" spans="102:130" ht="12"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</row>
    <row r="197" spans="102:130" ht="12"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</row>
  </sheetData>
  <sheetProtection password="CE60" sheet="1"/>
  <mergeCells count="31">
    <mergeCell ref="J28:L28"/>
    <mergeCell ref="J29:L29"/>
    <mergeCell ref="J30:L30"/>
    <mergeCell ref="J31:L31"/>
    <mergeCell ref="J24:L24"/>
    <mergeCell ref="J25:L25"/>
    <mergeCell ref="J26:L26"/>
    <mergeCell ref="J27:L27"/>
    <mergeCell ref="J1:K1"/>
    <mergeCell ref="H14:H15"/>
    <mergeCell ref="A1:D1"/>
    <mergeCell ref="C14:D14"/>
    <mergeCell ref="C9:D9"/>
    <mergeCell ref="C10:D10"/>
    <mergeCell ref="A9:B9"/>
    <mergeCell ref="B34:C34"/>
    <mergeCell ref="J2:K2"/>
    <mergeCell ref="B24:C24"/>
    <mergeCell ref="H16:I16"/>
    <mergeCell ref="B33:C33"/>
    <mergeCell ref="B17:D17"/>
    <mergeCell ref="C13:D13"/>
    <mergeCell ref="F4:H4"/>
    <mergeCell ref="I2:I3"/>
    <mergeCell ref="F29:H29"/>
    <mergeCell ref="F30:H30"/>
    <mergeCell ref="F31:H31"/>
    <mergeCell ref="F25:H25"/>
    <mergeCell ref="F26:H26"/>
    <mergeCell ref="F27:H27"/>
    <mergeCell ref="F28:H28"/>
  </mergeCells>
  <dataValidations count="8">
    <dataValidation type="list" allowBlank="1" showInputMessage="1" showErrorMessage="1" sqref="J2:K2 M2">
      <formula1>$CC$49:$CC$56</formula1>
    </dataValidation>
    <dataValidation allowBlank="1" showInputMessage="1" showErrorMessage="1" prompt="arrotondato pieno" sqref="C14:D14"/>
    <dataValidation type="list" allowBlank="1" showInputMessage="1" showErrorMessage="1" sqref="B7">
      <formula1>$ED$6:$ED$9</formula1>
    </dataValidation>
    <dataValidation allowBlank="1" showInputMessage="1" showErrorMessage="1" prompt="importo origine" sqref="C26"/>
    <dataValidation allowBlank="1" showInputMessage="1" showErrorMessage="1" prompt="importo mese" sqref="D26"/>
    <dataValidation allowBlank="1" showInputMessage="1" showErrorMessage="1" prompt="netto in busta" sqref="H14"/>
    <dataValidation allowBlank="1" showInputMessage="1" showErrorMessage="1" prompt="devi usare il filtro" sqref="J3"/>
    <dataValidation allowBlank="1" showInputMessage="1" showErrorMessage="1" prompt="digita,incluso tratt sindacale" sqref="H10"/>
  </dataValidations>
  <printOptions/>
  <pageMargins left="0.75" right="0.75" top="1" bottom="1" header="0.5" footer="0.5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workbookViewId="0" topLeftCell="A1">
      <selection activeCell="A1" sqref="A1:IV16384"/>
    </sheetView>
  </sheetViews>
  <sheetFormatPr defaultColWidth="9.140625" defaultRowHeight="12.75"/>
  <cols>
    <col min="1" max="1" width="0.13671875" style="159" customWidth="1"/>
    <col min="2" max="6" width="13.28125" style="159" hidden="1" customWidth="1"/>
    <col min="7" max="7" width="0.2890625" style="159" hidden="1" customWidth="1"/>
    <col min="8" max="39" width="13.28125" style="159" hidden="1" customWidth="1"/>
    <col min="40" max="40" width="0.13671875" style="159" customWidth="1"/>
    <col min="41" max="41" width="13.28125" style="159" hidden="1" customWidth="1"/>
    <col min="42" max="16384" width="13.28125" style="159" customWidth="1"/>
  </cols>
  <sheetData>
    <row r="1" spans="1:32" ht="11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X1" s="158"/>
      <c r="AD1" s="160">
        <f>'[1]Pensione'!B17</f>
        <v>35</v>
      </c>
      <c r="AE1" s="160">
        <f>'[1]Pensione'!C10+1</f>
        <v>2</v>
      </c>
      <c r="AF1" s="161">
        <f>INT(VLOOKUP(AD1,X9:AF15,AE1))</f>
        <v>1110</v>
      </c>
    </row>
    <row r="2" spans="1:41" ht="14.25" customHeight="1">
      <c r="A2" s="162"/>
      <c r="B2" s="159" t="s">
        <v>172</v>
      </c>
      <c r="D2" s="159" t="s">
        <v>173</v>
      </c>
      <c r="F2" s="159" t="s">
        <v>174</v>
      </c>
      <c r="H2" s="159" t="s">
        <v>175</v>
      </c>
      <c r="J2" s="159" t="s">
        <v>176</v>
      </c>
      <c r="L2" s="159" t="s">
        <v>177</v>
      </c>
      <c r="N2" s="159" t="s">
        <v>178</v>
      </c>
      <c r="P2" s="159" t="s">
        <v>179</v>
      </c>
      <c r="AH2" s="163"/>
      <c r="AI2" s="163"/>
      <c r="AJ2" s="163"/>
      <c r="AK2" s="163"/>
      <c r="AL2" s="163"/>
      <c r="AM2" s="163"/>
      <c r="AN2" s="163"/>
      <c r="AO2" s="163"/>
    </row>
    <row r="3" spans="1:41" ht="11.25">
      <c r="A3" s="158" t="s">
        <v>57</v>
      </c>
      <c r="B3" s="164" t="s">
        <v>58</v>
      </c>
      <c r="C3" s="164" t="s">
        <v>59</v>
      </c>
      <c r="D3" s="165" t="s">
        <v>58</v>
      </c>
      <c r="E3" s="165" t="s">
        <v>59</v>
      </c>
      <c r="F3" s="164" t="s">
        <v>58</v>
      </c>
      <c r="G3" s="164" t="s">
        <v>59</v>
      </c>
      <c r="H3" s="164" t="s">
        <v>58</v>
      </c>
      <c r="I3" s="164" t="s">
        <v>59</v>
      </c>
      <c r="J3" s="164" t="s">
        <v>58</v>
      </c>
      <c r="K3" s="164" t="s">
        <v>59</v>
      </c>
      <c r="L3" s="164" t="s">
        <v>58</v>
      </c>
      <c r="M3" s="164" t="s">
        <v>59</v>
      </c>
      <c r="N3" s="164" t="s">
        <v>58</v>
      </c>
      <c r="O3" s="164" t="s">
        <v>59</v>
      </c>
      <c r="P3" s="164" t="s">
        <v>58</v>
      </c>
      <c r="Q3" s="164" t="s">
        <v>59</v>
      </c>
      <c r="X3" s="159" t="s">
        <v>60</v>
      </c>
      <c r="Y3" s="164" t="s">
        <v>61</v>
      </c>
      <c r="Z3" s="164" t="s">
        <v>62</v>
      </c>
      <c r="AA3" s="164" t="s">
        <v>63</v>
      </c>
      <c r="AB3" s="164" t="s">
        <v>64</v>
      </c>
      <c r="AC3" s="164" t="s">
        <v>64</v>
      </c>
      <c r="AD3" s="164" t="s">
        <v>65</v>
      </c>
      <c r="AE3" s="164" t="s">
        <v>64</v>
      </c>
      <c r="AF3" s="164" t="s">
        <v>66</v>
      </c>
      <c r="AH3" s="163"/>
      <c r="AO3" s="163"/>
    </row>
    <row r="4" spans="1:41" ht="11.25">
      <c r="A4" s="158">
        <v>0</v>
      </c>
      <c r="B4" s="165">
        <v>8808.579478688405</v>
      </c>
      <c r="C4" s="165">
        <v>8808.579478688405</v>
      </c>
      <c r="D4" s="165">
        <v>10541.253666689048</v>
      </c>
      <c r="E4" s="165">
        <v>10541.253666689048</v>
      </c>
      <c r="F4" s="165">
        <v>12860.745684641088</v>
      </c>
      <c r="G4" s="165">
        <v>12744.789684641088</v>
      </c>
      <c r="H4" s="165">
        <v>13085.11</v>
      </c>
      <c r="I4" s="165">
        <v>12967.696000000002</v>
      </c>
      <c r="J4" s="165">
        <v>13085.11</v>
      </c>
      <c r="K4" s="165">
        <v>12967.696000000002</v>
      </c>
      <c r="L4" s="165">
        <v>13085.11</v>
      </c>
      <c r="M4" s="165">
        <v>12967.696000000002</v>
      </c>
      <c r="N4" s="165">
        <v>14670.91</v>
      </c>
      <c r="O4" s="165">
        <v>14543.47</v>
      </c>
      <c r="P4" s="165">
        <v>14670.91</v>
      </c>
      <c r="Q4" s="165">
        <v>14543.47</v>
      </c>
      <c r="X4" s="159" t="s">
        <v>67</v>
      </c>
      <c r="Y4" s="164" t="s">
        <v>68</v>
      </c>
      <c r="Z4" s="164" t="s">
        <v>69</v>
      </c>
      <c r="AA4" s="164" t="s">
        <v>70</v>
      </c>
      <c r="AB4" s="164" t="s">
        <v>71</v>
      </c>
      <c r="AC4" s="164" t="s">
        <v>72</v>
      </c>
      <c r="AD4" s="164" t="s">
        <v>73</v>
      </c>
      <c r="AE4" s="164" t="s">
        <v>74</v>
      </c>
      <c r="AF4" s="164" t="s">
        <v>75</v>
      </c>
      <c r="AH4" s="163"/>
      <c r="AK4" s="166" t="s">
        <v>76</v>
      </c>
      <c r="AM4" s="167">
        <f>calcolo!CG78</f>
        <v>24004.037314091325</v>
      </c>
      <c r="AO4" s="163"/>
    </row>
    <row r="5" spans="1:41" ht="11.25">
      <c r="A5" s="158">
        <f>A4+1</f>
        <v>1</v>
      </c>
      <c r="B5" s="165">
        <v>8808.579478688405</v>
      </c>
      <c r="C5" s="165">
        <v>8808.579478688405</v>
      </c>
      <c r="D5" s="165">
        <v>10541.253666689048</v>
      </c>
      <c r="E5" s="165">
        <v>10514.93766668905</v>
      </c>
      <c r="F5" s="165">
        <v>12860.745684641088</v>
      </c>
      <c r="G5" s="165">
        <v>12830.685684641086</v>
      </c>
      <c r="H5" s="165">
        <v>13085.11</v>
      </c>
      <c r="I5" s="165">
        <v>13054.672000000002</v>
      </c>
      <c r="J5" s="165">
        <v>13085.11</v>
      </c>
      <c r="K5" s="165">
        <v>13054.672000000002</v>
      </c>
      <c r="L5" s="165">
        <v>13085.11</v>
      </c>
      <c r="M5" s="165">
        <v>13054.672000000002</v>
      </c>
      <c r="N5" s="165">
        <v>14670.91</v>
      </c>
      <c r="O5" s="165">
        <v>14637.862</v>
      </c>
      <c r="P5" s="165">
        <v>14670.91</v>
      </c>
      <c r="Q5" s="165">
        <v>14637.862</v>
      </c>
      <c r="Y5" s="164"/>
      <c r="Z5" s="164" t="s">
        <v>77</v>
      </c>
      <c r="AA5" s="164" t="s">
        <v>78</v>
      </c>
      <c r="AB5" s="164"/>
      <c r="AC5" s="164"/>
      <c r="AD5" s="164" t="s">
        <v>75</v>
      </c>
      <c r="AE5" s="164"/>
      <c r="AF5" s="164" t="s">
        <v>79</v>
      </c>
      <c r="AH5" s="163"/>
      <c r="AO5" s="163"/>
    </row>
    <row r="6" spans="1:41" ht="11.25">
      <c r="A6" s="158">
        <f>A5+1</f>
        <v>2</v>
      </c>
      <c r="B6" s="165">
        <v>8808.579478688405</v>
      </c>
      <c r="C6" s="165">
        <v>8833.49016130111</v>
      </c>
      <c r="D6" s="165">
        <v>10541.253666689048</v>
      </c>
      <c r="E6" s="165">
        <v>10575.475919814256</v>
      </c>
      <c r="F6" s="165">
        <v>12860.745684641088</v>
      </c>
      <c r="G6" s="165">
        <v>12907.500550434597</v>
      </c>
      <c r="H6" s="165">
        <v>13085.11</v>
      </c>
      <c r="I6" s="165">
        <v>13133.040156250001</v>
      </c>
      <c r="J6" s="165">
        <v>13085.11</v>
      </c>
      <c r="K6" s="165">
        <v>13133.040156250001</v>
      </c>
      <c r="L6" s="165">
        <v>13085.11</v>
      </c>
      <c r="M6" s="165">
        <v>13133.040156250001</v>
      </c>
      <c r="N6" s="165">
        <v>14670.91</v>
      </c>
      <c r="O6" s="165">
        <v>14727.32490625</v>
      </c>
      <c r="P6" s="165">
        <v>14670.91</v>
      </c>
      <c r="Q6" s="165">
        <v>14727.32490625</v>
      </c>
      <c r="S6" s="159" t="s">
        <v>1</v>
      </c>
      <c r="T6" s="159" t="s">
        <v>182</v>
      </c>
      <c r="AH6" s="163"/>
      <c r="AO6" s="163"/>
    </row>
    <row r="7" spans="1:41" ht="11.25">
      <c r="A7" s="158">
        <f>A6+1</f>
        <v>3</v>
      </c>
      <c r="B7" s="161">
        <v>9098.088393664106</v>
      </c>
      <c r="C7" s="161">
        <v>8816.13479639639</v>
      </c>
      <c r="D7" s="161">
        <v>10916.553633739099</v>
      </c>
      <c r="E7" s="163">
        <v>10571.298354062194</v>
      </c>
      <c r="F7" s="163">
        <v>13376.921367784451</v>
      </c>
      <c r="G7" s="163">
        <v>12925.777939995594</v>
      </c>
      <c r="H7" s="163">
        <v>13607.14</v>
      </c>
      <c r="I7" s="163">
        <v>13149.609931818182</v>
      </c>
      <c r="J7" s="163">
        <v>13607.14</v>
      </c>
      <c r="K7" s="163">
        <v>13149.609931818182</v>
      </c>
      <c r="L7" s="163">
        <v>13607.14</v>
      </c>
      <c r="M7" s="163">
        <v>13149.609931818182</v>
      </c>
      <c r="N7" s="163">
        <v>15249.86</v>
      </c>
      <c r="O7" s="163">
        <v>14751.722013636363</v>
      </c>
      <c r="P7" s="163">
        <v>15859.04</v>
      </c>
      <c r="Q7" s="163">
        <v>14862.482013636361</v>
      </c>
      <c r="S7" s="159">
        <v>1</v>
      </c>
      <c r="T7" s="159" t="s">
        <v>52</v>
      </c>
      <c r="U7" s="163">
        <v>6207.12</v>
      </c>
      <c r="X7" s="159" t="s">
        <v>80</v>
      </c>
      <c r="Y7" s="168">
        <v>517.26</v>
      </c>
      <c r="Z7" s="168">
        <v>523.34</v>
      </c>
      <c r="AA7" s="168">
        <v>530.98</v>
      </c>
      <c r="AB7" s="168">
        <v>532.01</v>
      </c>
      <c r="AC7" s="168">
        <v>532.01</v>
      </c>
      <c r="AD7" s="168">
        <v>532.01</v>
      </c>
      <c r="AE7" s="168">
        <v>538.3</v>
      </c>
      <c r="AF7" s="168">
        <v>538.3</v>
      </c>
      <c r="AH7" s="163"/>
      <c r="AJ7" s="158">
        <v>2009</v>
      </c>
      <c r="AO7" s="163"/>
    </row>
    <row r="8" spans="1:41" ht="11.25">
      <c r="A8" s="158">
        <f aca="true" t="shared" si="0" ref="A8:A47">A7+1</f>
        <v>4</v>
      </c>
      <c r="B8" s="161">
        <v>9098.088393664106</v>
      </c>
      <c r="C8" s="161">
        <v>8879.244035047666</v>
      </c>
      <c r="D8" s="161">
        <v>10916.553633739099</v>
      </c>
      <c r="E8" s="163">
        <v>10660.751903443374</v>
      </c>
      <c r="F8" s="163">
        <v>13376.921367784451</v>
      </c>
      <c r="G8" s="163">
        <v>13055.11475928989</v>
      </c>
      <c r="H8" s="163">
        <v>13607.14</v>
      </c>
      <c r="I8" s="163">
        <v>13252.295778834061</v>
      </c>
      <c r="J8" s="163">
        <v>13607.14</v>
      </c>
      <c r="K8" s="163">
        <v>13252.295778834061</v>
      </c>
      <c r="L8" s="163">
        <v>13607.14</v>
      </c>
      <c r="M8" s="163">
        <v>13252.295778834061</v>
      </c>
      <c r="N8" s="163">
        <v>15249.86</v>
      </c>
      <c r="O8" s="163">
        <v>14872.185343187597</v>
      </c>
      <c r="P8" s="163">
        <v>15859.04</v>
      </c>
      <c r="Q8" s="163">
        <v>15089.749628901884</v>
      </c>
      <c r="S8" s="159">
        <v>2</v>
      </c>
      <c r="T8" s="159" t="s">
        <v>81</v>
      </c>
      <c r="U8" s="163">
        <v>6280.08</v>
      </c>
      <c r="AH8" s="163"/>
      <c r="AJ8" s="157"/>
      <c r="AK8" s="158" t="s">
        <v>82</v>
      </c>
      <c r="AL8" s="169" t="s">
        <v>83</v>
      </c>
      <c r="AM8" s="170" t="s">
        <v>84</v>
      </c>
      <c r="AO8" s="163"/>
    </row>
    <row r="9" spans="1:41" ht="11.25">
      <c r="A9" s="158">
        <f t="shared" si="0"/>
        <v>5</v>
      </c>
      <c r="B9" s="161">
        <v>9098.088393664106</v>
      </c>
      <c r="C9" s="161">
        <v>8844.367601136191</v>
      </c>
      <c r="D9" s="161">
        <v>10916.553633739099</v>
      </c>
      <c r="E9" s="163">
        <v>10637.532917568295</v>
      </c>
      <c r="F9" s="163">
        <v>13376.921367784451</v>
      </c>
      <c r="G9" s="163">
        <v>13050.673401928618</v>
      </c>
      <c r="H9" s="163">
        <v>13607.14</v>
      </c>
      <c r="I9" s="163">
        <v>13228.883331219944</v>
      </c>
      <c r="J9" s="163">
        <v>13607.14</v>
      </c>
      <c r="K9" s="163">
        <v>13228.883331219944</v>
      </c>
      <c r="L9" s="163">
        <v>13607.14</v>
      </c>
      <c r="M9" s="163">
        <v>13228.883331219944</v>
      </c>
      <c r="N9" s="163">
        <v>15249.86</v>
      </c>
      <c r="O9" s="163">
        <v>14855.097957789341</v>
      </c>
      <c r="P9" s="163">
        <v>15859.04</v>
      </c>
      <c r="Q9" s="163">
        <v>15144.45845778934</v>
      </c>
      <c r="S9" s="159">
        <v>3</v>
      </c>
      <c r="T9" s="159" t="s">
        <v>53</v>
      </c>
      <c r="U9" s="163">
        <v>6371.71</v>
      </c>
      <c r="X9" s="164">
        <v>0</v>
      </c>
      <c r="Y9" s="168">
        <f>Y18+$Y$17</f>
        <v>734.0483333333334</v>
      </c>
      <c r="Z9" s="168">
        <f>Z18+$Z$17</f>
        <v>878.4375</v>
      </c>
      <c r="AA9" s="168">
        <f>AA18+$AA$17</f>
        <v>1071.7291666666667</v>
      </c>
      <c r="AB9" s="168">
        <f>AB18+$AB$17</f>
        <v>1090.4266666666665</v>
      </c>
      <c r="AC9" s="168">
        <f>AC18+$AC$17</f>
        <v>1090.4266666666665</v>
      </c>
      <c r="AD9" s="168">
        <f>AD18+$AD$17</f>
        <v>1090.4266666666665</v>
      </c>
      <c r="AE9" s="168">
        <f>AE18+$AE$17</f>
        <v>1222.5758333333333</v>
      </c>
      <c r="AF9" s="168">
        <f>AF18+$AF$17</f>
        <v>1222.5758333333333</v>
      </c>
      <c r="AH9" s="163"/>
      <c r="AJ9" s="163">
        <v>0</v>
      </c>
      <c r="AK9" s="163">
        <v>42364</v>
      </c>
      <c r="AL9" s="171">
        <v>1</v>
      </c>
      <c r="AM9" s="163">
        <f>IF(AM4&gt;AK9,AK9,AM4)</f>
        <v>24004.037314091325</v>
      </c>
      <c r="AO9" s="163"/>
    </row>
    <row r="10" spans="1:41" ht="11.25">
      <c r="A10" s="158">
        <f t="shared" si="0"/>
        <v>6</v>
      </c>
      <c r="B10" s="161">
        <v>9098.088393664106</v>
      </c>
      <c r="C10" s="161">
        <v>8840.566857582362</v>
      </c>
      <c r="D10" s="161">
        <v>10916.553633739099</v>
      </c>
      <c r="E10" s="163">
        <v>10647.56136118183</v>
      </c>
      <c r="F10" s="163">
        <v>13376.921367784451</v>
      </c>
      <c r="G10" s="163">
        <v>13081.359279027256</v>
      </c>
      <c r="H10" s="163">
        <v>13607.14</v>
      </c>
      <c r="I10" s="163">
        <v>15138.41730468523</v>
      </c>
      <c r="J10" s="163">
        <v>13607.14</v>
      </c>
      <c r="K10" s="163">
        <v>15138.41730468523</v>
      </c>
      <c r="L10" s="163">
        <v>13607.14</v>
      </c>
      <c r="M10" s="163">
        <v>15138.41730468523</v>
      </c>
      <c r="N10" s="163">
        <v>15249.86</v>
      </c>
      <c r="O10" s="163">
        <v>17007.92195468712</v>
      </c>
      <c r="P10" s="163">
        <v>15859.04</v>
      </c>
      <c r="Q10" s="163">
        <v>17393.80210440141</v>
      </c>
      <c r="S10" s="159">
        <v>4</v>
      </c>
      <c r="T10" s="159" t="s">
        <v>54</v>
      </c>
      <c r="U10" s="163">
        <v>6384.12</v>
      </c>
      <c r="X10" s="164">
        <v>3</v>
      </c>
      <c r="Y10" s="168">
        <f aca="true" t="shared" si="1" ref="Y10:Y15">Y19+$Y$17</f>
        <v>758.1741666666667</v>
      </c>
      <c r="Z10" s="168">
        <f aca="true" t="shared" si="2" ref="Z10:Z15">Z19+$Z$17</f>
        <v>909.7125000000001</v>
      </c>
      <c r="AA10" s="168">
        <f aca="true" t="shared" si="3" ref="AA10:AA15">AA19+$AA$17</f>
        <v>1114.7433333333333</v>
      </c>
      <c r="AB10" s="168">
        <f aca="true" t="shared" si="4" ref="AB10:AB15">AB19+$AB$17</f>
        <v>1133.9291666666666</v>
      </c>
      <c r="AC10" s="168">
        <f aca="true" t="shared" si="5" ref="AC10:AC15">AC19+$AC$17</f>
        <v>1133.9291666666666</v>
      </c>
      <c r="AD10" s="168">
        <f aca="true" t="shared" si="6" ref="AD10:AD15">AD19+$AD$17</f>
        <v>1133.9291666666666</v>
      </c>
      <c r="AE10" s="168">
        <f aca="true" t="shared" si="7" ref="AE10:AE15">AE19+$AE$17</f>
        <v>1270.8216666666667</v>
      </c>
      <c r="AF10" s="168">
        <f aca="true" t="shared" si="8" ref="AF10:AF15">AF19+$AF$17</f>
        <v>1321.5866666666666</v>
      </c>
      <c r="AH10" s="163"/>
      <c r="AJ10" s="163">
        <f>AK9+0.01</f>
        <v>42364.01</v>
      </c>
      <c r="AK10" s="163">
        <v>56344.12</v>
      </c>
      <c r="AL10" s="171">
        <v>0.8</v>
      </c>
      <c r="AM10" s="163">
        <f>IF($AC$6&lt;AK9,0,IF($AC$6&gt;AK10,(AK10-AJ10)*AL10,($AC$6-AK9)*AL10))</f>
        <v>0</v>
      </c>
      <c r="AO10" s="163"/>
    </row>
    <row r="11" spans="1:41" ht="11.25">
      <c r="A11" s="158">
        <f t="shared" si="0"/>
        <v>7</v>
      </c>
      <c r="B11" s="161">
        <v>9098.088393664106</v>
      </c>
      <c r="C11" s="161">
        <v>8818.85969899378</v>
      </c>
      <c r="D11" s="161">
        <v>10916.553633739099</v>
      </c>
      <c r="E11" s="163">
        <v>10636.772303388489</v>
      </c>
      <c r="F11" s="163">
        <v>13376.921367784451</v>
      </c>
      <c r="G11" s="163">
        <v>13086.923520441253</v>
      </c>
      <c r="H11" s="163">
        <v>13607.14</v>
      </c>
      <c r="I11" s="163">
        <v>14853.332164321726</v>
      </c>
      <c r="J11" s="163">
        <v>13607.14</v>
      </c>
      <c r="K11" s="163">
        <v>14853.332164321726</v>
      </c>
      <c r="L11" s="163">
        <v>13607.14</v>
      </c>
      <c r="M11" s="163">
        <v>14853.332164321726</v>
      </c>
      <c r="N11" s="163">
        <v>15249.86</v>
      </c>
      <c r="O11" s="163">
        <v>16696.855894929606</v>
      </c>
      <c r="P11" s="163">
        <v>15859.04</v>
      </c>
      <c r="Q11" s="163">
        <v>17118.7268432608</v>
      </c>
      <c r="S11" s="159">
        <v>5</v>
      </c>
      <c r="T11" s="159" t="s">
        <v>55</v>
      </c>
      <c r="U11" s="163">
        <v>6384.12</v>
      </c>
      <c r="X11" s="164">
        <v>9</v>
      </c>
      <c r="Y11" s="168">
        <f t="shared" si="1"/>
        <v>845.6183333333333</v>
      </c>
      <c r="Z11" s="168">
        <f t="shared" si="2"/>
        <v>1021.3591666666667</v>
      </c>
      <c r="AA11" s="168">
        <f t="shared" si="3"/>
        <v>1247.2208333333333</v>
      </c>
      <c r="AB11" s="168">
        <f t="shared" si="4"/>
        <v>1267.9091666666666</v>
      </c>
      <c r="AC11" s="168">
        <f t="shared" si="5"/>
        <v>1267.9091666666666</v>
      </c>
      <c r="AD11" s="168">
        <f t="shared" si="6"/>
        <v>1267.9091666666666</v>
      </c>
      <c r="AE11" s="168">
        <f t="shared" si="7"/>
        <v>1428.5366666666664</v>
      </c>
      <c r="AF11" s="168">
        <f t="shared" si="8"/>
        <v>1480.0166666666667</v>
      </c>
      <c r="AH11" s="163"/>
      <c r="AJ11" s="163">
        <f>AK10+0.01</f>
        <v>56344.130000000005</v>
      </c>
      <c r="AK11" s="163">
        <v>70324.24</v>
      </c>
      <c r="AL11" s="172">
        <v>0.675</v>
      </c>
      <c r="AM11" s="163">
        <f>IF($AC$6&lt;AK10,0,IF($AC$6&gt;AK11,(AK11-AJ11)*AL11,($AC$6-AK10)*AL11))</f>
        <v>0</v>
      </c>
      <c r="AO11" s="163"/>
    </row>
    <row r="12" spans="1:41" ht="11.25">
      <c r="A12" s="158">
        <f t="shared" si="0"/>
        <v>8</v>
      </c>
      <c r="B12" s="161">
        <v>9098.088393664106</v>
      </c>
      <c r="C12" s="161">
        <v>8791.551758052101</v>
      </c>
      <c r="D12" s="161">
        <v>10916.553633739099</v>
      </c>
      <c r="E12" s="163">
        <v>10619.178380005002</v>
      </c>
      <c r="F12" s="163">
        <v>13376.921367784451</v>
      </c>
      <c r="G12" s="163">
        <v>13083.656260672402</v>
      </c>
      <c r="H12" s="163">
        <v>13607.14</v>
      </c>
      <c r="I12" s="163">
        <v>14624.93829889059</v>
      </c>
      <c r="J12" s="163">
        <v>13607.14</v>
      </c>
      <c r="K12" s="163">
        <v>14624.93829889059</v>
      </c>
      <c r="L12" s="163">
        <v>13607.14</v>
      </c>
      <c r="M12" s="163">
        <v>14629.681038465058</v>
      </c>
      <c r="N12" s="163">
        <v>15249.86</v>
      </c>
      <c r="O12" s="163">
        <v>16449.802954542098</v>
      </c>
      <c r="P12" s="163">
        <v>15859.04</v>
      </c>
      <c r="Q12" s="163">
        <v>16897.117700121828</v>
      </c>
      <c r="S12" s="159">
        <v>6</v>
      </c>
      <c r="T12" s="159" t="s">
        <v>85</v>
      </c>
      <c r="U12" s="163">
        <v>6384.12</v>
      </c>
      <c r="V12" s="173"/>
      <c r="X12" s="164">
        <v>15</v>
      </c>
      <c r="Y12" s="168">
        <f t="shared" si="1"/>
        <v>927.2191666666668</v>
      </c>
      <c r="Z12" s="168">
        <f t="shared" si="2"/>
        <v>1127.1091666666669</v>
      </c>
      <c r="AA12" s="168">
        <f t="shared" si="3"/>
        <v>1401.915</v>
      </c>
      <c r="AB12" s="168">
        <f t="shared" si="4"/>
        <v>1424.4091666666666</v>
      </c>
      <c r="AC12" s="168">
        <f t="shared" si="5"/>
        <v>1424.4091666666666</v>
      </c>
      <c r="AD12" s="168">
        <f t="shared" si="6"/>
        <v>1424.4091666666666</v>
      </c>
      <c r="AE12" s="168">
        <f t="shared" si="7"/>
        <v>1610.0816666666665</v>
      </c>
      <c r="AF12" s="168">
        <f t="shared" si="8"/>
        <v>1675.4483333333333</v>
      </c>
      <c r="AH12" s="163"/>
      <c r="AJ12" s="163">
        <f>AK11+0.01</f>
        <v>70324.25</v>
      </c>
      <c r="AK12" s="163">
        <v>80491.6</v>
      </c>
      <c r="AL12" s="171">
        <v>0.55</v>
      </c>
      <c r="AM12" s="163">
        <f>IF($AC$6&lt;AK11,0,IF($AC$6&gt;AK12,(AK12-AJ12)*AL12,($AC$6-AK11)*AL12))</f>
        <v>0</v>
      </c>
      <c r="AO12" s="163"/>
    </row>
    <row r="13" spans="1:41" ht="11.25">
      <c r="A13" s="158">
        <f t="shared" si="0"/>
        <v>9</v>
      </c>
      <c r="B13" s="161">
        <v>10147.420553125337</v>
      </c>
      <c r="C13" s="161">
        <v>8830.611242004681</v>
      </c>
      <c r="D13" s="161">
        <v>12256.307621974209</v>
      </c>
      <c r="E13" s="163">
        <v>10687.587704690206</v>
      </c>
      <c r="F13" s="163">
        <v>14966.651029453536</v>
      </c>
      <c r="G13" s="163">
        <v>13182.909419135622</v>
      </c>
      <c r="H13" s="163">
        <v>15214.9</v>
      </c>
      <c r="I13" s="163">
        <v>13305.60076255315</v>
      </c>
      <c r="J13" s="163">
        <v>15214.9</v>
      </c>
      <c r="K13" s="163">
        <v>13305.60076255315</v>
      </c>
      <c r="L13" s="163">
        <v>15214.9</v>
      </c>
      <c r="M13" s="163">
        <v>13309.54803220832</v>
      </c>
      <c r="N13" s="163">
        <v>17142.44</v>
      </c>
      <c r="O13" s="163">
        <v>14980.965289525175</v>
      </c>
      <c r="P13" s="163">
        <v>17760.2</v>
      </c>
      <c r="Q13" s="163">
        <v>15409.7603983663</v>
      </c>
      <c r="S13" s="159">
        <v>7</v>
      </c>
      <c r="T13" s="159" t="s">
        <v>56</v>
      </c>
      <c r="U13" s="163">
        <v>6459.6</v>
      </c>
      <c r="X13" s="164">
        <v>21</v>
      </c>
      <c r="Y13" s="168">
        <f t="shared" si="1"/>
        <v>1007.5575</v>
      </c>
      <c r="Z13" s="168">
        <f t="shared" si="2"/>
        <v>1233.4950000000001</v>
      </c>
      <c r="AA13" s="168">
        <f t="shared" si="3"/>
        <v>1552.0816666666667</v>
      </c>
      <c r="AB13" s="168">
        <f t="shared" si="4"/>
        <v>1576.2924999999998</v>
      </c>
      <c r="AC13" s="168">
        <f t="shared" si="5"/>
        <v>1576.2924999999998</v>
      </c>
      <c r="AD13" s="168">
        <f t="shared" si="6"/>
        <v>1650.8733333333332</v>
      </c>
      <c r="AE13" s="168">
        <f t="shared" si="7"/>
        <v>1786.3799999999999</v>
      </c>
      <c r="AF13" s="168">
        <f t="shared" si="8"/>
        <v>1924.3866666666665</v>
      </c>
      <c r="AH13" s="163"/>
      <c r="AJ13" s="163">
        <f>AK12</f>
        <v>80491.6</v>
      </c>
      <c r="AK13" s="163"/>
      <c r="AL13" s="171">
        <v>0.45</v>
      </c>
      <c r="AM13" s="163">
        <f>IF($AC$6&lt;AK12,0,($AC$6-AK12)*AL13)</f>
        <v>0</v>
      </c>
      <c r="AO13" s="163"/>
    </row>
    <row r="14" spans="1:41" ht="11.25">
      <c r="A14" s="158">
        <f t="shared" si="0"/>
        <v>10</v>
      </c>
      <c r="B14" s="161">
        <v>10147.420553125337</v>
      </c>
      <c r="C14" s="161">
        <v>8939.523813000553</v>
      </c>
      <c r="D14" s="161">
        <v>12256.307621974209</v>
      </c>
      <c r="E14" s="163">
        <v>10834.025418519344</v>
      </c>
      <c r="F14" s="163">
        <v>14966.651029453536</v>
      </c>
      <c r="G14" s="163">
        <v>13368.184364193921</v>
      </c>
      <c r="H14" s="163">
        <v>15214.9</v>
      </c>
      <c r="I14" s="163">
        <v>13488.758892397283</v>
      </c>
      <c r="J14" s="163">
        <v>15214.9</v>
      </c>
      <c r="K14" s="163">
        <v>13488.758892397283</v>
      </c>
      <c r="L14" s="163">
        <v>15214.9</v>
      </c>
      <c r="M14" s="163">
        <v>13492.688130397284</v>
      </c>
      <c r="N14" s="163">
        <v>17142.44</v>
      </c>
      <c r="O14" s="163">
        <v>15198.12124169575</v>
      </c>
      <c r="P14" s="163">
        <v>17760.2</v>
      </c>
      <c r="Q14" s="163">
        <v>15677.090307184266</v>
      </c>
      <c r="S14" s="159">
        <v>8</v>
      </c>
      <c r="T14" s="159" t="s">
        <v>86</v>
      </c>
      <c r="U14" s="163">
        <v>6459.6</v>
      </c>
      <c r="X14" s="164">
        <v>28</v>
      </c>
      <c r="Y14" s="168">
        <f t="shared" si="1"/>
        <v>1068.165</v>
      </c>
      <c r="Z14" s="168">
        <f t="shared" si="2"/>
        <v>1309.2625</v>
      </c>
      <c r="AA14" s="168">
        <f t="shared" si="3"/>
        <v>1700.2191666666668</v>
      </c>
      <c r="AB14" s="168">
        <f t="shared" si="4"/>
        <v>1726.145</v>
      </c>
      <c r="AC14" s="168">
        <f t="shared" si="5"/>
        <v>1726.145</v>
      </c>
      <c r="AD14" s="168">
        <f t="shared" si="6"/>
        <v>1799.4758333333332</v>
      </c>
      <c r="AE14" s="168">
        <f t="shared" si="7"/>
        <v>1959.3116666666665</v>
      </c>
      <c r="AF14" s="168">
        <f t="shared" si="8"/>
        <v>2087.48</v>
      </c>
      <c r="AH14" s="163"/>
      <c r="AO14" s="163"/>
    </row>
    <row r="15" spans="1:41" ht="11.25">
      <c r="A15" s="158">
        <f t="shared" si="0"/>
        <v>11</v>
      </c>
      <c r="B15" s="161">
        <v>10147.420553125337</v>
      </c>
      <c r="C15" s="161">
        <v>8401.313487238289</v>
      </c>
      <c r="D15" s="161">
        <v>12256.307621974209</v>
      </c>
      <c r="E15" s="163">
        <v>10194.097772313724</v>
      </c>
      <c r="F15" s="163">
        <v>14966.651029453536</v>
      </c>
      <c r="G15" s="163">
        <v>12588.140836579028</v>
      </c>
      <c r="H15" s="163">
        <v>15214.9</v>
      </c>
      <c r="I15" s="163">
        <v>13708.354782558215</v>
      </c>
      <c r="J15" s="163">
        <v>15214.9</v>
      </c>
      <c r="K15" s="163">
        <v>13708.354782558215</v>
      </c>
      <c r="L15" s="163">
        <v>15214.9</v>
      </c>
      <c r="M15" s="163">
        <v>13712.389014558215</v>
      </c>
      <c r="N15" s="163">
        <v>17142.44</v>
      </c>
      <c r="O15" s="163">
        <v>15452.895450906793</v>
      </c>
      <c r="P15" s="163">
        <v>17760.2</v>
      </c>
      <c r="Q15" s="163">
        <v>15996.684942845974</v>
      </c>
      <c r="X15" s="164">
        <v>35</v>
      </c>
      <c r="Y15" s="168">
        <f t="shared" si="1"/>
        <v>1110.6391666666666</v>
      </c>
      <c r="Z15" s="168">
        <f t="shared" si="2"/>
        <v>1367.3216666666667</v>
      </c>
      <c r="AA15" s="168">
        <f t="shared" si="3"/>
        <v>1810.5466666666669</v>
      </c>
      <c r="AB15" s="168">
        <f t="shared" si="4"/>
        <v>1837.7366666666667</v>
      </c>
      <c r="AC15" s="168">
        <f t="shared" si="5"/>
        <v>1837.7366666666667</v>
      </c>
      <c r="AD15" s="168">
        <f t="shared" si="6"/>
        <v>1912.3616666666667</v>
      </c>
      <c r="AE15" s="168">
        <f t="shared" si="7"/>
        <v>2087.48</v>
      </c>
      <c r="AF15" s="168">
        <f t="shared" si="8"/>
        <v>2217.4883333333337</v>
      </c>
      <c r="AH15" s="163"/>
      <c r="AK15" s="166" t="s">
        <v>87</v>
      </c>
      <c r="AM15" s="161">
        <f>SUM(AM9:AM13)</f>
        <v>24004.037314091325</v>
      </c>
      <c r="AO15" s="163"/>
    </row>
    <row r="16" spans="1:41" ht="11.25">
      <c r="A16" s="158">
        <f t="shared" si="0"/>
        <v>12</v>
      </c>
      <c r="B16" s="161">
        <v>10147.420553125337</v>
      </c>
      <c r="C16" s="161">
        <v>8537.646838085948</v>
      </c>
      <c r="D16" s="161">
        <v>12256.307621974209</v>
      </c>
      <c r="E16" s="163">
        <v>10368.769719149637</v>
      </c>
      <c r="F16" s="163">
        <v>14966.651029453536</v>
      </c>
      <c r="G16" s="163">
        <v>12802.982773370923</v>
      </c>
      <c r="H16" s="163">
        <v>15214.9</v>
      </c>
      <c r="I16" s="163">
        <v>13924.953007404189</v>
      </c>
      <c r="J16" s="163">
        <v>15214.9</v>
      </c>
      <c r="K16" s="163">
        <v>13924.953007404189</v>
      </c>
      <c r="L16" s="163">
        <v>15214.9</v>
      </c>
      <c r="M16" s="163">
        <v>13929.106255404187</v>
      </c>
      <c r="N16" s="163">
        <v>17142.44</v>
      </c>
      <c r="O16" s="163">
        <v>15704.109630750825</v>
      </c>
      <c r="P16" s="163">
        <v>17760.2</v>
      </c>
      <c r="Q16" s="163">
        <v>16313.266551987956</v>
      </c>
      <c r="T16" s="159" t="s">
        <v>183</v>
      </c>
      <c r="X16" s="164" t="s">
        <v>1</v>
      </c>
      <c r="Y16" s="164" t="s">
        <v>1</v>
      </c>
      <c r="Z16" s="164" t="s">
        <v>1</v>
      </c>
      <c r="AA16" s="164" t="s">
        <v>1</v>
      </c>
      <c r="AB16" s="164" t="s">
        <v>1</v>
      </c>
      <c r="AC16" s="164" t="s">
        <v>1</v>
      </c>
      <c r="AD16" s="164" t="s">
        <v>1</v>
      </c>
      <c r="AE16" s="164" t="s">
        <v>1</v>
      </c>
      <c r="AF16" s="164" t="s">
        <v>1</v>
      </c>
      <c r="AH16" s="163"/>
      <c r="AO16" s="163"/>
    </row>
    <row r="17" spans="1:41" ht="11.25">
      <c r="A17" s="158">
        <f t="shared" si="0"/>
        <v>13</v>
      </c>
      <c r="B17" s="161">
        <v>10147.420553125337</v>
      </c>
      <c r="C17" s="161">
        <v>8657.637502078653</v>
      </c>
      <c r="D17" s="161">
        <v>12256.307621974209</v>
      </c>
      <c r="E17" s="163">
        <v>10522.182055465652</v>
      </c>
      <c r="F17" s="163">
        <v>14966.651029453536</v>
      </c>
      <c r="G17" s="163">
        <v>12987.56005039887</v>
      </c>
      <c r="H17" s="163">
        <v>15214.9</v>
      </c>
      <c r="I17" s="163">
        <v>14110.283090332136</v>
      </c>
      <c r="J17" s="163">
        <v>15214.9</v>
      </c>
      <c r="K17" s="163">
        <v>14110.283090332136</v>
      </c>
      <c r="L17" s="163">
        <v>15214.9</v>
      </c>
      <c r="M17" s="163">
        <v>14110.283090332136</v>
      </c>
      <c r="N17" s="163">
        <v>17142.44</v>
      </c>
      <c r="O17" s="163">
        <v>15920.92700455359</v>
      </c>
      <c r="P17" s="163">
        <v>17760.2</v>
      </c>
      <c r="Q17" s="163">
        <v>16552.731879249503</v>
      </c>
      <c r="T17" s="158" t="s">
        <v>180</v>
      </c>
      <c r="U17" s="174">
        <f>T28/U11</f>
        <v>1.1167233333333333</v>
      </c>
      <c r="X17" s="170" t="s">
        <v>88</v>
      </c>
      <c r="Y17" s="170">
        <v>9.32</v>
      </c>
      <c r="Z17" s="170">
        <v>10.44</v>
      </c>
      <c r="AA17" s="170">
        <v>11.93</v>
      </c>
      <c r="AB17" s="170">
        <v>12.08</v>
      </c>
      <c r="AC17" s="170">
        <v>12.08</v>
      </c>
      <c r="AD17" s="170">
        <v>12.08</v>
      </c>
      <c r="AE17" s="170">
        <v>13.11</v>
      </c>
      <c r="AF17" s="170">
        <v>13.11</v>
      </c>
      <c r="AH17" s="163"/>
      <c r="AO17" s="163"/>
    </row>
    <row r="18" spans="1:41" ht="11.25">
      <c r="A18" s="158">
        <f t="shared" si="0"/>
        <v>14</v>
      </c>
      <c r="B18" s="161">
        <v>10147.420553125337</v>
      </c>
      <c r="C18" s="161">
        <v>8765.419941509743</v>
      </c>
      <c r="D18" s="161">
        <v>12256.307621974209</v>
      </c>
      <c r="E18" s="163">
        <v>10659.823062333044</v>
      </c>
      <c r="F18" s="163">
        <v>14966.651029453536</v>
      </c>
      <c r="G18" s="163">
        <v>13150.854980351289</v>
      </c>
      <c r="H18" s="163">
        <v>15214.9</v>
      </c>
      <c r="I18" s="163">
        <v>14274.247440284555</v>
      </c>
      <c r="J18" s="163">
        <v>15214.9</v>
      </c>
      <c r="K18" s="163">
        <v>14274.247440284555</v>
      </c>
      <c r="L18" s="163">
        <v>15214.9</v>
      </c>
      <c r="M18" s="163">
        <v>14274.247440284555</v>
      </c>
      <c r="N18" s="163">
        <v>17142.44</v>
      </c>
      <c r="O18" s="163">
        <v>16113.845440298841</v>
      </c>
      <c r="P18" s="163">
        <v>17760.2</v>
      </c>
      <c r="Q18" s="163">
        <v>16746.61767114199</v>
      </c>
      <c r="S18" s="159">
        <v>1</v>
      </c>
      <c r="T18" s="159" t="s">
        <v>52</v>
      </c>
      <c r="U18" s="175">
        <f>U7*$U$17</f>
        <v>6931.6357368</v>
      </c>
      <c r="X18" s="164">
        <v>0</v>
      </c>
      <c r="Y18" s="168">
        <v>724.7283333333334</v>
      </c>
      <c r="Z18" s="168">
        <v>867.9975</v>
      </c>
      <c r="AA18" s="168">
        <v>1059.7991666666667</v>
      </c>
      <c r="AB18" s="168">
        <v>1078.3466666666666</v>
      </c>
      <c r="AC18" s="168">
        <v>1078.3466666666666</v>
      </c>
      <c r="AD18" s="168">
        <v>1078.3466666666666</v>
      </c>
      <c r="AE18" s="168">
        <v>1209.4658333333334</v>
      </c>
      <c r="AF18" s="168">
        <v>1209.4658333333334</v>
      </c>
      <c r="AH18" s="163"/>
      <c r="AI18" s="163"/>
      <c r="AJ18" s="163"/>
      <c r="AK18" s="163"/>
      <c r="AL18" s="163"/>
      <c r="AM18" s="163"/>
      <c r="AN18" s="163"/>
      <c r="AO18" s="163"/>
    </row>
    <row r="19" spans="1:41" ht="11.25">
      <c r="A19" s="158">
        <f t="shared" si="0"/>
        <v>15</v>
      </c>
      <c r="B19" s="161">
        <v>11126.633082989458</v>
      </c>
      <c r="C19" s="161">
        <v>8875.660591310243</v>
      </c>
      <c r="D19" s="161">
        <v>13525.30552371312</v>
      </c>
      <c r="E19" s="163">
        <v>10800.606279841375</v>
      </c>
      <c r="F19" s="163">
        <v>16822.9771577311</v>
      </c>
      <c r="G19" s="163">
        <v>13317.87398118045</v>
      </c>
      <c r="H19" s="163">
        <v>17092.9</v>
      </c>
      <c r="I19" s="163">
        <v>14567.139696513716</v>
      </c>
      <c r="J19" s="163">
        <v>17092.9</v>
      </c>
      <c r="K19" s="163">
        <v>14567.139696513716</v>
      </c>
      <c r="L19" s="163">
        <v>17092.9</v>
      </c>
      <c r="M19" s="163">
        <v>14567.139696513716</v>
      </c>
      <c r="N19" s="163">
        <v>19320.98</v>
      </c>
      <c r="O19" s="163">
        <v>16456.38601673879</v>
      </c>
      <c r="P19" s="163">
        <v>20105.38</v>
      </c>
      <c r="Q19" s="163">
        <v>17101.247638179182</v>
      </c>
      <c r="S19" s="159">
        <v>2</v>
      </c>
      <c r="T19" s="159" t="s">
        <v>81</v>
      </c>
      <c r="U19" s="175">
        <f aca="true" t="shared" si="9" ref="U19:U25">U8*$U$17</f>
        <v>7013.1118712</v>
      </c>
      <c r="X19" s="164">
        <v>3</v>
      </c>
      <c r="Y19" s="168">
        <v>748.8541666666666</v>
      </c>
      <c r="Z19" s="168">
        <v>899.2725</v>
      </c>
      <c r="AA19" s="168">
        <v>1102.8133333333333</v>
      </c>
      <c r="AB19" s="168">
        <v>1121.8491666666666</v>
      </c>
      <c r="AC19" s="168">
        <v>1121.8491666666666</v>
      </c>
      <c r="AD19" s="168">
        <v>1121.8491666666666</v>
      </c>
      <c r="AE19" s="168">
        <v>1257.7116666666668</v>
      </c>
      <c r="AF19" s="168">
        <v>1308.4766666666667</v>
      </c>
      <c r="AH19" s="163"/>
      <c r="AI19" s="163"/>
      <c r="AJ19" s="163"/>
      <c r="AK19" s="163"/>
      <c r="AL19" s="163"/>
      <c r="AM19" s="163"/>
      <c r="AN19" s="163"/>
      <c r="AO19" s="163"/>
    </row>
    <row r="20" spans="1:32" ht="11.25">
      <c r="A20" s="158">
        <f t="shared" si="0"/>
        <v>16</v>
      </c>
      <c r="B20" s="161">
        <v>11126.633082989458</v>
      </c>
      <c r="C20" s="161">
        <v>9084.069333026704</v>
      </c>
      <c r="D20" s="161">
        <v>13525.30552371312</v>
      </c>
      <c r="E20" s="163">
        <v>11068.59967606748</v>
      </c>
      <c r="F20" s="163">
        <v>16822.9771577311</v>
      </c>
      <c r="G20" s="163">
        <v>13670.88825529869</v>
      </c>
      <c r="H20" s="163">
        <v>17092.9</v>
      </c>
      <c r="I20" s="163">
        <v>14922.830945004202</v>
      </c>
      <c r="J20" s="163">
        <v>17092.9</v>
      </c>
      <c r="K20" s="163">
        <v>14922.830945004202</v>
      </c>
      <c r="L20" s="163">
        <v>17092.9</v>
      </c>
      <c r="M20" s="163">
        <v>14922.830945004202</v>
      </c>
      <c r="N20" s="163">
        <v>19320.98</v>
      </c>
      <c r="O20" s="163">
        <v>16871.79525331419</v>
      </c>
      <c r="P20" s="163">
        <v>20105.38</v>
      </c>
      <c r="Q20" s="163">
        <v>17534.30116913602</v>
      </c>
      <c r="S20" s="159">
        <v>3</v>
      </c>
      <c r="T20" s="159" t="s">
        <v>89</v>
      </c>
      <c r="U20" s="175">
        <f t="shared" si="9"/>
        <v>7115.437230233333</v>
      </c>
      <c r="X20" s="164">
        <v>9</v>
      </c>
      <c r="Y20" s="168">
        <v>836.2983333333333</v>
      </c>
      <c r="Z20" s="168">
        <v>1010.9191666666667</v>
      </c>
      <c r="AA20" s="168">
        <v>1235.2908333333332</v>
      </c>
      <c r="AB20" s="168">
        <v>1255.8291666666667</v>
      </c>
      <c r="AC20" s="168">
        <v>1255.8291666666667</v>
      </c>
      <c r="AD20" s="168">
        <v>1255.8291666666667</v>
      </c>
      <c r="AE20" s="168">
        <v>1415.4266666666665</v>
      </c>
      <c r="AF20" s="168">
        <v>1466.9066666666668</v>
      </c>
    </row>
    <row r="21" spans="1:32" ht="11.25">
      <c r="A21" s="158">
        <f t="shared" si="0"/>
        <v>17</v>
      </c>
      <c r="B21" s="161">
        <v>11126.633082989458</v>
      </c>
      <c r="C21" s="161">
        <v>9295.839434782747</v>
      </c>
      <c r="D21" s="161">
        <v>13525.30552371312</v>
      </c>
      <c r="E21" s="163">
        <v>11340.92604692699</v>
      </c>
      <c r="F21" s="163">
        <v>16822.9771577311</v>
      </c>
      <c r="G21" s="163">
        <v>14029.925595960236</v>
      </c>
      <c r="H21" s="163">
        <v>17092.9</v>
      </c>
      <c r="I21" s="163">
        <v>15284.089857517296</v>
      </c>
      <c r="J21" s="163">
        <v>17092.9</v>
      </c>
      <c r="K21" s="163">
        <v>15284.089857517296</v>
      </c>
      <c r="L21" s="163">
        <v>17092.9</v>
      </c>
      <c r="M21" s="163">
        <v>15284.089857517296</v>
      </c>
      <c r="N21" s="163">
        <v>19320.98</v>
      </c>
      <c r="O21" s="163">
        <v>17293.742860826205</v>
      </c>
      <c r="P21" s="163">
        <v>20105.38</v>
      </c>
      <c r="Q21" s="163">
        <v>17974.251154409587</v>
      </c>
      <c r="S21" s="159">
        <v>4</v>
      </c>
      <c r="T21" s="159" t="s">
        <v>54</v>
      </c>
      <c r="U21" s="175">
        <f t="shared" si="9"/>
        <v>7129.2957668</v>
      </c>
      <c r="X21" s="164">
        <v>15</v>
      </c>
      <c r="Y21" s="168">
        <v>917.8991666666667</v>
      </c>
      <c r="Z21" s="168">
        <v>1116.6691666666668</v>
      </c>
      <c r="AA21" s="168">
        <v>1389.985</v>
      </c>
      <c r="AB21" s="168">
        <v>1412.3291666666667</v>
      </c>
      <c r="AC21" s="168">
        <v>1412.3291666666667</v>
      </c>
      <c r="AD21" s="168">
        <v>1412.3291666666667</v>
      </c>
      <c r="AE21" s="168">
        <v>1596.9716666666666</v>
      </c>
      <c r="AF21" s="168">
        <v>1662.3383333333334</v>
      </c>
    </row>
    <row r="22" spans="1:32" ht="11.25">
      <c r="A22" s="158">
        <f t="shared" si="0"/>
        <v>18</v>
      </c>
      <c r="B22" s="161">
        <v>11126.633082989458</v>
      </c>
      <c r="C22" s="161">
        <v>9511.718122840006</v>
      </c>
      <c r="D22" s="161">
        <v>13525.30552371312</v>
      </c>
      <c r="E22" s="163">
        <v>11618.698476445406</v>
      </c>
      <c r="F22" s="163">
        <v>16822.9771577311</v>
      </c>
      <c r="G22" s="163">
        <v>14389.342132302549</v>
      </c>
      <c r="H22" s="163">
        <v>17092.9</v>
      </c>
      <c r="I22" s="163">
        <v>15646.534288820607</v>
      </c>
      <c r="J22" s="163">
        <v>17092.9</v>
      </c>
      <c r="K22" s="163">
        <v>15645.595566431684</v>
      </c>
      <c r="L22" s="163">
        <v>17092.9</v>
      </c>
      <c r="M22" s="163">
        <v>15645.595566431684</v>
      </c>
      <c r="N22" s="163">
        <v>19320.98</v>
      </c>
      <c r="O22" s="163">
        <v>17715.997202243012</v>
      </c>
      <c r="P22" s="163">
        <v>20105.38</v>
      </c>
      <c r="Q22" s="163">
        <v>18414.05130076313</v>
      </c>
      <c r="S22" s="159">
        <v>5</v>
      </c>
      <c r="T22" s="159" t="s">
        <v>55</v>
      </c>
      <c r="U22" s="175">
        <f t="shared" si="9"/>
        <v>7129.2957668</v>
      </c>
      <c r="X22" s="164">
        <v>21</v>
      </c>
      <c r="Y22" s="168">
        <v>998.2375</v>
      </c>
      <c r="Z22" s="168">
        <v>1223.055</v>
      </c>
      <c r="AA22" s="168">
        <v>1540.1516666666666</v>
      </c>
      <c r="AB22" s="168">
        <v>1564.2124999999999</v>
      </c>
      <c r="AC22" s="168">
        <v>1564.2124999999999</v>
      </c>
      <c r="AD22" s="168">
        <v>1638.7933333333333</v>
      </c>
      <c r="AE22" s="168">
        <v>1773.27</v>
      </c>
      <c r="AF22" s="168">
        <v>1911.2766666666666</v>
      </c>
    </row>
    <row r="23" spans="1:32" ht="11.25">
      <c r="A23" s="158">
        <f t="shared" si="0"/>
        <v>19</v>
      </c>
      <c r="B23" s="161">
        <v>11126.633082989458</v>
      </c>
      <c r="C23" s="161">
        <v>9646.55749530808</v>
      </c>
      <c r="D23" s="161">
        <v>13525.30552371312</v>
      </c>
      <c r="E23" s="163">
        <v>11792.562746100717</v>
      </c>
      <c r="F23" s="163">
        <v>16822.9771577311</v>
      </c>
      <c r="G23" s="163">
        <v>14637.606179808736</v>
      </c>
      <c r="H23" s="163">
        <v>17092.9</v>
      </c>
      <c r="I23" s="163">
        <v>15894.758690699275</v>
      </c>
      <c r="J23" s="163">
        <v>17092.9</v>
      </c>
      <c r="K23" s="163">
        <v>15894.758690699275</v>
      </c>
      <c r="L23" s="163">
        <v>17092.9</v>
      </c>
      <c r="M23" s="163">
        <v>15894.758690699275</v>
      </c>
      <c r="N23" s="163">
        <v>19320.98</v>
      </c>
      <c r="O23" s="163">
        <v>18006.102354937208</v>
      </c>
      <c r="P23" s="163">
        <v>20105.38</v>
      </c>
      <c r="Q23" s="163">
        <v>18721.760963622197</v>
      </c>
      <c r="S23" s="159">
        <v>6</v>
      </c>
      <c r="T23" s="159" t="s">
        <v>85</v>
      </c>
      <c r="U23" s="175">
        <f t="shared" si="9"/>
        <v>7129.2957668</v>
      </c>
      <c r="V23" s="173"/>
      <c r="X23" s="164">
        <v>28</v>
      </c>
      <c r="Y23" s="168">
        <v>1058.845</v>
      </c>
      <c r="Z23" s="168">
        <v>1298.8225</v>
      </c>
      <c r="AA23" s="168">
        <v>1688.2891666666667</v>
      </c>
      <c r="AB23" s="168">
        <v>1714.065</v>
      </c>
      <c r="AC23" s="168">
        <v>1714.065</v>
      </c>
      <c r="AD23" s="168">
        <v>1787.3958333333333</v>
      </c>
      <c r="AE23" s="168">
        <v>1946.2016666666666</v>
      </c>
      <c r="AF23" s="168">
        <v>2074.37</v>
      </c>
    </row>
    <row r="24" spans="1:32" ht="11.25">
      <c r="A24" s="158">
        <f t="shared" si="0"/>
        <v>20</v>
      </c>
      <c r="B24" s="161">
        <v>11126.633082989458</v>
      </c>
      <c r="C24" s="161">
        <v>9747.17271926502</v>
      </c>
      <c r="D24" s="161">
        <v>13525.30552371312</v>
      </c>
      <c r="E24" s="163">
        <v>11922.925362797727</v>
      </c>
      <c r="F24" s="163">
        <v>16822.9771577311</v>
      </c>
      <c r="G24" s="163">
        <v>14828.315695940662</v>
      </c>
      <c r="H24" s="163">
        <v>17092.9</v>
      </c>
      <c r="I24" s="163">
        <v>16086.271510831202</v>
      </c>
      <c r="J24" s="163">
        <v>17092.9</v>
      </c>
      <c r="K24" s="163">
        <v>16086.271510831202</v>
      </c>
      <c r="L24" s="163">
        <v>17092.9</v>
      </c>
      <c r="M24" s="163">
        <v>16086.271510831202</v>
      </c>
      <c r="N24" s="163">
        <v>19320.98</v>
      </c>
      <c r="O24" s="163">
        <v>18228.375342563977</v>
      </c>
      <c r="P24" s="163">
        <v>20105.38</v>
      </c>
      <c r="Q24" s="163">
        <v>18960.936926550297</v>
      </c>
      <c r="S24" s="159">
        <v>7</v>
      </c>
      <c r="T24" s="159" t="s">
        <v>56</v>
      </c>
      <c r="U24" s="175">
        <f t="shared" si="9"/>
        <v>7213.586044</v>
      </c>
      <c r="X24" s="164">
        <v>35</v>
      </c>
      <c r="Y24" s="168">
        <v>1101.3191666666667</v>
      </c>
      <c r="Z24" s="168">
        <v>1356.8816666666667</v>
      </c>
      <c r="AA24" s="168">
        <v>1798.6166666666668</v>
      </c>
      <c r="AB24" s="168">
        <v>1825.6566666666668</v>
      </c>
      <c r="AC24" s="168">
        <v>1825.6566666666668</v>
      </c>
      <c r="AD24" s="168">
        <v>1900.2816666666668</v>
      </c>
      <c r="AE24" s="168">
        <v>2074.37</v>
      </c>
      <c r="AF24" s="168">
        <v>2204.3783333333336</v>
      </c>
    </row>
    <row r="25" spans="1:21" ht="11.25">
      <c r="A25" s="158">
        <f t="shared" si="0"/>
        <v>21</v>
      </c>
      <c r="B25" s="161">
        <v>12090.69064727543</v>
      </c>
      <c r="C25" s="161">
        <v>9850.075387321109</v>
      </c>
      <c r="D25" s="161">
        <v>14801.940908241106</v>
      </c>
      <c r="E25" s="163">
        <v>12056.25726452851</v>
      </c>
      <c r="F25" s="163">
        <v>18624.975078888787</v>
      </c>
      <c r="G25" s="163">
        <v>15023.380088718473</v>
      </c>
      <c r="H25" s="163">
        <v>18915.5</v>
      </c>
      <c r="I25" s="163">
        <v>16403.638757975677</v>
      </c>
      <c r="J25" s="163">
        <v>18915.5</v>
      </c>
      <c r="K25" s="163">
        <v>16403.638757975677</v>
      </c>
      <c r="L25" s="163">
        <v>19810.47</v>
      </c>
      <c r="M25" s="163">
        <v>16463.303424642345</v>
      </c>
      <c r="N25" s="163">
        <v>21436.56</v>
      </c>
      <c r="O25" s="163">
        <v>18596.726055180785</v>
      </c>
      <c r="P25" s="163">
        <v>23092.64</v>
      </c>
      <c r="Q25" s="163">
        <v>19404.69875034825</v>
      </c>
      <c r="S25" s="159">
        <v>8</v>
      </c>
      <c r="T25" s="159" t="s">
        <v>86</v>
      </c>
      <c r="U25" s="175">
        <f t="shared" si="9"/>
        <v>7213.586044</v>
      </c>
    </row>
    <row r="26" spans="1:17" ht="11.25">
      <c r="A26" s="158">
        <f t="shared" si="0"/>
        <v>22</v>
      </c>
      <c r="B26" s="161">
        <v>12090.69064727543</v>
      </c>
      <c r="C26" s="161">
        <v>10049.603253772477</v>
      </c>
      <c r="D26" s="161">
        <v>14801.940908241106</v>
      </c>
      <c r="E26" s="163">
        <v>12317.545643470432</v>
      </c>
      <c r="F26" s="163">
        <v>18624.975078888787</v>
      </c>
      <c r="G26" s="163">
        <v>15399.068634125864</v>
      </c>
      <c r="H26" s="163">
        <v>18915.5</v>
      </c>
      <c r="I26" s="163">
        <v>16782.0103400673</v>
      </c>
      <c r="J26" s="163">
        <v>18915.5</v>
      </c>
      <c r="K26" s="163">
        <v>16782.0103400673</v>
      </c>
      <c r="L26" s="163">
        <v>19810.47</v>
      </c>
      <c r="M26" s="163">
        <v>16931.172006733967</v>
      </c>
      <c r="N26" s="163">
        <v>21436.56</v>
      </c>
      <c r="O26" s="163">
        <v>19035.870061208556</v>
      </c>
      <c r="P26" s="163">
        <v>23092.64</v>
      </c>
      <c r="Q26" s="163">
        <v>19948.343925967416</v>
      </c>
    </row>
    <row r="27" spans="1:20" ht="11.25">
      <c r="A27" s="158">
        <f t="shared" si="0"/>
        <v>23</v>
      </c>
      <c r="B27" s="161">
        <v>12090.69064727543</v>
      </c>
      <c r="C27" s="161">
        <v>10252.383030938488</v>
      </c>
      <c r="D27" s="161">
        <v>14801.940908241106</v>
      </c>
      <c r="E27" s="163">
        <v>12583.126051571724</v>
      </c>
      <c r="F27" s="163">
        <v>18624.975078888787</v>
      </c>
      <c r="G27" s="163">
        <v>15780.861570062556</v>
      </c>
      <c r="H27" s="163">
        <v>18915.5</v>
      </c>
      <c r="I27" s="163">
        <v>17165.958707485326</v>
      </c>
      <c r="J27" s="163">
        <v>18915.5</v>
      </c>
      <c r="K27" s="163">
        <v>17165.958707485326</v>
      </c>
      <c r="L27" s="163">
        <v>19810.47</v>
      </c>
      <c r="M27" s="163">
        <v>17406.854799151995</v>
      </c>
      <c r="N27" s="163">
        <v>21436.56</v>
      </c>
      <c r="O27" s="163">
        <v>19481.421196496965</v>
      </c>
      <c r="P27" s="163">
        <v>23092.64</v>
      </c>
      <c r="Q27" s="163">
        <v>20500.72246579956</v>
      </c>
      <c r="S27" s="159" t="s">
        <v>1</v>
      </c>
      <c r="T27" s="159" t="s">
        <v>181</v>
      </c>
    </row>
    <row r="28" spans="1:21" ht="11.25">
      <c r="A28" s="158">
        <f t="shared" si="0"/>
        <v>24</v>
      </c>
      <c r="B28" s="161">
        <v>12090.69064727543</v>
      </c>
      <c r="C28" s="161">
        <v>10460.060497091514</v>
      </c>
      <c r="D28" s="161">
        <v>14801.940908241106</v>
      </c>
      <c r="E28" s="163">
        <v>12854.913699598525</v>
      </c>
      <c r="F28" s="163">
        <v>18624.975078888787</v>
      </c>
      <c r="G28" s="163">
        <v>16163.86335459141</v>
      </c>
      <c r="H28" s="163">
        <v>18915.5</v>
      </c>
      <c r="I28" s="163">
        <v>17552.057918521397</v>
      </c>
      <c r="J28" s="163">
        <v>18915.5</v>
      </c>
      <c r="K28" s="163">
        <v>17550.96833003425</v>
      </c>
      <c r="L28" s="163">
        <v>19810.47</v>
      </c>
      <c r="M28" s="163">
        <v>17881.66919170092</v>
      </c>
      <c r="N28" s="163">
        <v>21436.56</v>
      </c>
      <c r="O28" s="163">
        <v>19927.757735161067</v>
      </c>
      <c r="P28" s="163">
        <v>23092.64</v>
      </c>
      <c r="Q28" s="163">
        <v>21052.87183040181</v>
      </c>
      <c r="S28" s="159" t="s">
        <v>1</v>
      </c>
      <c r="T28" s="159">
        <f>SUM(T30:T40)/120</f>
        <v>7129.2957668</v>
      </c>
      <c r="U28" s="176"/>
    </row>
    <row r="29" spans="1:25" ht="11.25">
      <c r="A29" s="158">
        <f t="shared" si="0"/>
        <v>25</v>
      </c>
      <c r="B29" s="161">
        <v>12090.69064727543</v>
      </c>
      <c r="C29" s="161">
        <v>10589.94523172186</v>
      </c>
      <c r="D29" s="161">
        <v>14801.940908241106</v>
      </c>
      <c r="E29" s="163">
        <v>13026.19794183446</v>
      </c>
      <c r="F29" s="163">
        <v>18624.975078888787</v>
      </c>
      <c r="G29" s="163">
        <v>16415.593547651013</v>
      </c>
      <c r="H29" s="163">
        <v>18915.5</v>
      </c>
      <c r="I29" s="163">
        <v>17803.54485858916</v>
      </c>
      <c r="J29" s="163">
        <v>18915.5</v>
      </c>
      <c r="K29" s="163">
        <v>17803.54485858916</v>
      </c>
      <c r="L29" s="163">
        <v>19810.47</v>
      </c>
      <c r="M29" s="163">
        <v>18227.062568606856</v>
      </c>
      <c r="N29" s="163">
        <v>21436.56</v>
      </c>
      <c r="O29" s="163">
        <v>20221.308589692177</v>
      </c>
      <c r="P29" s="163">
        <v>23092.64</v>
      </c>
      <c r="Q29" s="163">
        <v>21442.067622748677</v>
      </c>
      <c r="U29" s="176"/>
      <c r="Y29" s="177"/>
    </row>
    <row r="30" spans="1:25" ht="11.25">
      <c r="A30" s="158">
        <f t="shared" si="0"/>
        <v>26</v>
      </c>
      <c r="B30" s="161">
        <v>12090.69064727543</v>
      </c>
      <c r="C30" s="161">
        <v>10688.963334969245</v>
      </c>
      <c r="D30" s="161">
        <v>14801.940908241106</v>
      </c>
      <c r="E30" s="163">
        <v>13157.332342086247</v>
      </c>
      <c r="F30" s="163">
        <v>18624.975078888787</v>
      </c>
      <c r="G30" s="163">
        <v>16600.69687131458</v>
      </c>
      <c r="H30" s="163">
        <v>18915.5</v>
      </c>
      <c r="I30" s="163">
        <v>17989.424709452724</v>
      </c>
      <c r="J30" s="163">
        <v>18915.5</v>
      </c>
      <c r="K30" s="163">
        <v>17989.424709452724</v>
      </c>
      <c r="L30" s="163">
        <v>19810.47</v>
      </c>
      <c r="M30" s="163">
        <v>18504.22353560018</v>
      </c>
      <c r="N30" s="163">
        <v>21436.56</v>
      </c>
      <c r="O30" s="163">
        <v>20437.025484599577</v>
      </c>
      <c r="P30" s="163">
        <v>23092.64</v>
      </c>
      <c r="Q30" s="163">
        <v>21746.706050425288</v>
      </c>
      <c r="S30" s="159">
        <v>2001</v>
      </c>
      <c r="T30" s="178">
        <f>$U$11*U30*4</f>
        <v>33154.011984</v>
      </c>
      <c r="U30" s="176">
        <v>1.2983</v>
      </c>
      <c r="Y30" s="177"/>
    </row>
    <row r="31" spans="1:25" ht="11.25">
      <c r="A31" s="158">
        <f t="shared" si="0"/>
        <v>27</v>
      </c>
      <c r="B31" s="161">
        <v>12090.69064727543</v>
      </c>
      <c r="C31" s="161">
        <v>10790.253525830061</v>
      </c>
      <c r="D31" s="161">
        <v>14801.940908241106</v>
      </c>
      <c r="E31" s="163">
        <v>13291.470482414667</v>
      </c>
      <c r="F31" s="163">
        <v>18624.975078888787</v>
      </c>
      <c r="G31" s="163">
        <v>16790.028459076384</v>
      </c>
      <c r="H31" s="163">
        <v>18915.5</v>
      </c>
      <c r="I31" s="163">
        <v>18179.52376241453</v>
      </c>
      <c r="J31" s="163">
        <v>18915.5</v>
      </c>
      <c r="K31" s="163">
        <v>18179.52376241453</v>
      </c>
      <c r="L31" s="163">
        <v>19810.47</v>
      </c>
      <c r="M31" s="163">
        <v>18787.668539981347</v>
      </c>
      <c r="N31" s="163">
        <v>21436.56</v>
      </c>
      <c r="O31" s="163">
        <v>20657.643792502942</v>
      </c>
      <c r="P31" s="163">
        <v>23092.64</v>
      </c>
      <c r="Q31" s="163">
        <v>22058.25889442196</v>
      </c>
      <c r="S31" s="159">
        <v>2002</v>
      </c>
      <c r="T31" s="178">
        <f aca="true" t="shared" si="10" ref="T31:T36">$U$11*U31*12</f>
        <v>96213.795696</v>
      </c>
      <c r="U31" s="176">
        <v>1.2559</v>
      </c>
      <c r="Y31" s="177"/>
    </row>
    <row r="32" spans="1:25" ht="11.25">
      <c r="A32" s="158">
        <f t="shared" si="0"/>
        <v>28</v>
      </c>
      <c r="B32" s="161">
        <v>12817.981676109222</v>
      </c>
      <c r="C32" s="161">
        <v>10891.771973713236</v>
      </c>
      <c r="D32" s="161">
        <v>15711.153808508112</v>
      </c>
      <c r="E32" s="163">
        <v>13425.897153973587</v>
      </c>
      <c r="F32" s="163">
        <v>20402.63118098199</v>
      </c>
      <c r="G32" s="163">
        <v>16979.773951456144</v>
      </c>
      <c r="H32" s="163">
        <v>20713.73</v>
      </c>
      <c r="I32" s="163">
        <v>18489.731617994294</v>
      </c>
      <c r="J32" s="163">
        <v>20713.73</v>
      </c>
      <c r="K32" s="163">
        <v>18489.731617994294</v>
      </c>
      <c r="L32" s="163">
        <v>21593.7</v>
      </c>
      <c r="M32" s="163">
        <v>19190.342129099758</v>
      </c>
      <c r="N32" s="163">
        <v>23511.74</v>
      </c>
      <c r="O32" s="163">
        <v>21016.88418742657</v>
      </c>
      <c r="P32" s="163">
        <v>25049.76</v>
      </c>
      <c r="Q32" s="163">
        <v>22500.670407352354</v>
      </c>
      <c r="S32" s="159">
        <v>2003</v>
      </c>
      <c r="T32" s="178">
        <f t="shared" si="10"/>
        <v>93034.503936</v>
      </c>
      <c r="U32" s="176">
        <v>1.2144</v>
      </c>
      <c r="V32" s="173"/>
      <c r="Y32" s="177"/>
    </row>
    <row r="33" spans="1:25" ht="11.25">
      <c r="A33" s="158">
        <f t="shared" si="0"/>
        <v>29</v>
      </c>
      <c r="B33" s="161">
        <v>12817.981676109222</v>
      </c>
      <c r="C33" s="161">
        <v>11066.857699203503</v>
      </c>
      <c r="D33" s="161">
        <v>15711.153808508112</v>
      </c>
      <c r="E33" s="163">
        <v>13652.35463869737</v>
      </c>
      <c r="F33" s="163">
        <v>20402.63118098199</v>
      </c>
      <c r="G33" s="163">
        <v>17348.846170010856</v>
      </c>
      <c r="H33" s="163">
        <v>20713.73</v>
      </c>
      <c r="I33" s="163">
        <v>18860.87579913968</v>
      </c>
      <c r="J33" s="163">
        <v>20713.73</v>
      </c>
      <c r="K33" s="163">
        <v>18860.87579913968</v>
      </c>
      <c r="L33" s="163">
        <v>21593.7</v>
      </c>
      <c r="M33" s="163">
        <v>19653.93606874638</v>
      </c>
      <c r="N33" s="163">
        <v>23511.74</v>
      </c>
      <c r="O33" s="163">
        <v>21446.451200006606</v>
      </c>
      <c r="P33" s="163">
        <v>25049.76</v>
      </c>
      <c r="Q33" s="163">
        <v>23009.944010578092</v>
      </c>
      <c r="S33" s="159">
        <v>2004</v>
      </c>
      <c r="T33" s="178">
        <f t="shared" si="10"/>
        <v>90368.495424</v>
      </c>
      <c r="U33" s="176">
        <v>1.1796</v>
      </c>
      <c r="Y33" s="177"/>
    </row>
    <row r="34" spans="1:25" ht="11.25">
      <c r="A34" s="158">
        <f t="shared" si="0"/>
        <v>30</v>
      </c>
      <c r="B34" s="161">
        <v>12817.981676109222</v>
      </c>
      <c r="C34" s="161">
        <v>11250.534348488409</v>
      </c>
      <c r="D34" s="161">
        <v>15711.153808508112</v>
      </c>
      <c r="E34" s="163">
        <v>13890.144218224636</v>
      </c>
      <c r="F34" s="163">
        <v>20402.63118098199</v>
      </c>
      <c r="G34" s="163">
        <v>17727.803882249096</v>
      </c>
      <c r="H34" s="163">
        <v>20713.73</v>
      </c>
      <c r="I34" s="163">
        <v>19243.205364537134</v>
      </c>
      <c r="J34" s="163">
        <v>20713.73</v>
      </c>
      <c r="K34" s="163">
        <v>19241.948147051968</v>
      </c>
      <c r="L34" s="163">
        <v>21593.7</v>
      </c>
      <c r="M34" s="163">
        <v>20128.234986946893</v>
      </c>
      <c r="N34" s="163">
        <v>23511.74</v>
      </c>
      <c r="O34" s="163">
        <v>21887.452507305567</v>
      </c>
      <c r="P34" s="163">
        <v>25049.76</v>
      </c>
      <c r="Q34" s="163">
        <v>23536.74057323649</v>
      </c>
      <c r="S34" s="159">
        <v>2005</v>
      </c>
      <c r="T34" s="178">
        <f t="shared" si="10"/>
        <v>88016.585616</v>
      </c>
      <c r="U34" s="176">
        <v>1.1489</v>
      </c>
      <c r="Y34" s="177"/>
    </row>
    <row r="35" spans="1:25" ht="11.25">
      <c r="A35" s="158">
        <f t="shared" si="0"/>
        <v>31</v>
      </c>
      <c r="B35" s="161">
        <v>12817.981676109222</v>
      </c>
      <c r="C35" s="161">
        <v>11352.398052619204</v>
      </c>
      <c r="D35" s="161">
        <v>15711.153808508112</v>
      </c>
      <c r="E35" s="163">
        <v>14019.494727516516</v>
      </c>
      <c r="F35" s="163">
        <v>20402.63118098199</v>
      </c>
      <c r="G35" s="163">
        <v>17967.348074599682</v>
      </c>
      <c r="H35" s="163">
        <v>20713.73</v>
      </c>
      <c r="I35" s="163">
        <v>19483.480280425843</v>
      </c>
      <c r="J35" s="163">
        <v>20713.73</v>
      </c>
      <c r="K35" s="163">
        <v>19483.480280425843</v>
      </c>
      <c r="L35" s="163">
        <v>21593.7</v>
      </c>
      <c r="M35" s="163">
        <v>20400.103645944942</v>
      </c>
      <c r="N35" s="163">
        <v>23511.74</v>
      </c>
      <c r="O35" s="163">
        <v>22166.635470535002</v>
      </c>
      <c r="P35" s="163">
        <v>25049.76</v>
      </c>
      <c r="Q35" s="163">
        <v>23829.50186268291</v>
      </c>
      <c r="S35" s="159">
        <v>2006</v>
      </c>
      <c r="T35" s="178">
        <f t="shared" si="10"/>
        <v>85473.15220799998</v>
      </c>
      <c r="U35" s="176">
        <v>1.1157</v>
      </c>
      <c r="Y35" s="177"/>
    </row>
    <row r="36" spans="1:22" ht="11.25">
      <c r="A36" s="158">
        <f t="shared" si="0"/>
        <v>32</v>
      </c>
      <c r="B36" s="161">
        <v>12817.981676109222</v>
      </c>
      <c r="C36" s="161">
        <v>11428.35443298142</v>
      </c>
      <c r="D36" s="161">
        <v>15711.153808508112</v>
      </c>
      <c r="E36" s="163">
        <v>14114.442007772519</v>
      </c>
      <c r="F36" s="163">
        <v>20402.63118098199</v>
      </c>
      <c r="G36" s="163">
        <v>18152.982199270064</v>
      </c>
      <c r="H36" s="163">
        <v>20713.73</v>
      </c>
      <c r="I36" s="163">
        <v>19669.982358796227</v>
      </c>
      <c r="J36" s="163">
        <v>20713.73</v>
      </c>
      <c r="K36" s="163">
        <v>19669.982358796227</v>
      </c>
      <c r="L36" s="163">
        <v>21593.7</v>
      </c>
      <c r="M36" s="163">
        <v>20585.05286220457</v>
      </c>
      <c r="N36" s="163">
        <v>23511.74</v>
      </c>
      <c r="O36" s="163">
        <v>22381.868825215493</v>
      </c>
      <c r="P36" s="163">
        <v>25049.76</v>
      </c>
      <c r="Q36" s="163">
        <v>24032.46938072916</v>
      </c>
      <c r="S36" s="159">
        <v>2007</v>
      </c>
      <c r="T36" s="178">
        <f t="shared" si="10"/>
        <v>83220.834672</v>
      </c>
      <c r="U36" s="176">
        <v>1.0863</v>
      </c>
      <c r="V36" s="173"/>
    </row>
    <row r="37" spans="1:21" ht="11.25">
      <c r="A37" s="158">
        <f t="shared" si="0"/>
        <v>33</v>
      </c>
      <c r="B37" s="161">
        <v>12817.981676109222</v>
      </c>
      <c r="C37" s="161">
        <v>11503.071861068405</v>
      </c>
      <c r="D37" s="161">
        <v>15711.153808508112</v>
      </c>
      <c r="E37" s="163">
        <v>14207.83646265531</v>
      </c>
      <c r="F37" s="163">
        <v>20402.63118098199</v>
      </c>
      <c r="G37" s="163">
        <v>18335.583920580604</v>
      </c>
      <c r="H37" s="163">
        <v>20713.73</v>
      </c>
      <c r="I37" s="163">
        <v>19853.38738410676</v>
      </c>
      <c r="J37" s="163">
        <v>20713.73</v>
      </c>
      <c r="K37" s="163">
        <v>19853.38738410676</v>
      </c>
      <c r="L37" s="163">
        <v>21593.7</v>
      </c>
      <c r="M37" s="163">
        <v>20766.90093200556</v>
      </c>
      <c r="N37" s="163">
        <v>23511.74</v>
      </c>
      <c r="O37" s="163">
        <v>22593.509706364082</v>
      </c>
      <c r="P37" s="163">
        <v>25049.76</v>
      </c>
      <c r="Q37" s="163">
        <v>24232.05915138625</v>
      </c>
      <c r="S37" s="159">
        <v>2008</v>
      </c>
      <c r="T37" s="178">
        <f>$U$11*U37*12</f>
        <v>79827.03648000001</v>
      </c>
      <c r="U37" s="176">
        <v>1.042</v>
      </c>
    </row>
    <row r="38" spans="1:21" ht="11.25">
      <c r="A38" s="158">
        <f t="shared" si="0"/>
        <v>34</v>
      </c>
      <c r="B38" s="161">
        <v>12817.981676109222</v>
      </c>
      <c r="C38" s="161">
        <v>11579.48761607112</v>
      </c>
      <c r="D38" s="161">
        <v>15711.153808508112</v>
      </c>
      <c r="E38" s="163">
        <v>14303.360937466989</v>
      </c>
      <c r="F38" s="163">
        <v>20402.63118098199</v>
      </c>
      <c r="G38" s="163">
        <v>18522.358996850093</v>
      </c>
      <c r="H38" s="163">
        <v>20713.73</v>
      </c>
      <c r="I38" s="163">
        <v>20040.944861276254</v>
      </c>
      <c r="J38" s="163">
        <v>20713.73</v>
      </c>
      <c r="K38" s="163">
        <v>20040.944861276254</v>
      </c>
      <c r="L38" s="163">
        <v>21593.7</v>
      </c>
      <c r="M38" s="163">
        <v>20952.886143479773</v>
      </c>
      <c r="N38" s="163">
        <v>23511.74</v>
      </c>
      <c r="O38" s="163">
        <v>22809.95368814672</v>
      </c>
      <c r="P38" s="163">
        <v>25049.76</v>
      </c>
      <c r="Q38" s="163">
        <v>24436.176137339244</v>
      </c>
      <c r="S38" s="159">
        <v>2009</v>
      </c>
      <c r="T38" s="178">
        <f>$U$11*U38*12</f>
        <v>78524.67599999999</v>
      </c>
      <c r="U38" s="176">
        <v>1.025</v>
      </c>
    </row>
    <row r="39" spans="1:21" ht="11.25">
      <c r="A39" s="158">
        <f t="shared" si="0"/>
        <v>35</v>
      </c>
      <c r="B39" s="161">
        <v>13327.67279026169</v>
      </c>
      <c r="C39" s="161">
        <v>11656.063830632354</v>
      </c>
      <c r="D39" s="161">
        <v>16407.858449286512</v>
      </c>
      <c r="E39" s="163">
        <v>14399.089358382482</v>
      </c>
      <c r="F39" s="163">
        <v>21726.557289840777</v>
      </c>
      <c r="G39" s="163">
        <v>18709.544542653006</v>
      </c>
      <c r="H39" s="163">
        <v>22052.83</v>
      </c>
      <c r="I39" s="163">
        <v>20318.012414012504</v>
      </c>
      <c r="J39" s="163">
        <v>22052.83</v>
      </c>
      <c r="K39" s="163">
        <v>20318.012414012504</v>
      </c>
      <c r="L39" s="163">
        <v>22948.33</v>
      </c>
      <c r="M39" s="163">
        <v>21229.413677809756</v>
      </c>
      <c r="N39" s="163">
        <v>25049.76</v>
      </c>
      <c r="O39" s="163">
        <v>23129.201352031425</v>
      </c>
      <c r="P39" s="163">
        <v>26609.86</v>
      </c>
      <c r="Q39" s="163">
        <v>24744.550827530424</v>
      </c>
      <c r="S39" s="159">
        <v>2010</v>
      </c>
      <c r="T39" s="178">
        <f>$U$11*U39*12</f>
        <v>76609.44</v>
      </c>
      <c r="U39" s="176">
        <v>1</v>
      </c>
    </row>
    <row r="40" spans="1:21" ht="11.25">
      <c r="A40" s="158">
        <f t="shared" si="0"/>
        <v>36</v>
      </c>
      <c r="B40" s="161">
        <v>13327.67279026169</v>
      </c>
      <c r="C40" s="161">
        <v>11796.009786117716</v>
      </c>
      <c r="D40" s="161">
        <v>16407.858449286512</v>
      </c>
      <c r="E40" s="163">
        <v>14581.624502436169</v>
      </c>
      <c r="F40" s="163">
        <v>21726.557289840777</v>
      </c>
      <c r="G40" s="163">
        <v>19040.085518519918</v>
      </c>
      <c r="H40" s="163">
        <v>22052.83</v>
      </c>
      <c r="I40" s="163">
        <v>20653.262863409982</v>
      </c>
      <c r="J40" s="163">
        <v>22052.83</v>
      </c>
      <c r="K40" s="163">
        <v>20650.123218629036</v>
      </c>
      <c r="L40" s="163">
        <v>22948.33</v>
      </c>
      <c r="M40" s="163">
        <v>21583.4727799557</v>
      </c>
      <c r="N40" s="163">
        <v>25049.76</v>
      </c>
      <c r="O40" s="163">
        <v>23536.809456206964</v>
      </c>
      <c r="P40" s="163">
        <v>26609.86</v>
      </c>
      <c r="Q40" s="163">
        <v>25134.783344761112</v>
      </c>
      <c r="S40" s="159">
        <v>2011</v>
      </c>
      <c r="T40" s="178">
        <f>$U$11*U40*8</f>
        <v>51072.96</v>
      </c>
      <c r="U40" s="176">
        <v>1</v>
      </c>
    </row>
    <row r="41" spans="1:17" ht="11.25">
      <c r="A41" s="158">
        <f t="shared" si="0"/>
        <v>37</v>
      </c>
      <c r="B41" s="161">
        <v>13327.67279026169</v>
      </c>
      <c r="C41" s="161">
        <v>11920.126982064565</v>
      </c>
      <c r="D41" s="161">
        <v>16407.858449286512</v>
      </c>
      <c r="E41" s="163">
        <v>14742.04514165779</v>
      </c>
      <c r="F41" s="163">
        <v>21726.557289840777</v>
      </c>
      <c r="G41" s="163">
        <v>19364.786546502048</v>
      </c>
      <c r="H41" s="163">
        <v>22052.83</v>
      </c>
      <c r="I41" s="163">
        <v>20976.939638664615</v>
      </c>
      <c r="J41" s="163">
        <v>22052.83</v>
      </c>
      <c r="K41" s="163">
        <v>20976.403225870945</v>
      </c>
      <c r="L41" s="163">
        <v>22948.33</v>
      </c>
      <c r="M41" s="163">
        <v>21895.049280599356</v>
      </c>
      <c r="N41" s="163">
        <v>25049.76</v>
      </c>
      <c r="O41" s="163">
        <v>23895.705990641043</v>
      </c>
      <c r="P41" s="163">
        <v>26609.86</v>
      </c>
      <c r="Q41" s="163">
        <v>25487.790284926665</v>
      </c>
    </row>
    <row r="42" spans="1:17" ht="11.25">
      <c r="A42" s="158">
        <f t="shared" si="0"/>
        <v>38</v>
      </c>
      <c r="B42" s="161">
        <v>13327.67279026169</v>
      </c>
      <c r="C42" s="161">
        <v>11991.678306820224</v>
      </c>
      <c r="D42" s="161">
        <v>16407.858449286512</v>
      </c>
      <c r="E42" s="163">
        <v>14836.705332076068</v>
      </c>
      <c r="F42" s="163">
        <v>21726.557289840777</v>
      </c>
      <c r="G42" s="163">
        <v>19553.643919318336</v>
      </c>
      <c r="H42" s="163">
        <v>22052.83</v>
      </c>
      <c r="I42" s="163">
        <v>21166.71444309084</v>
      </c>
      <c r="J42" s="163">
        <v>22052.83</v>
      </c>
      <c r="K42" s="163">
        <v>21166.71444309084</v>
      </c>
      <c r="L42" s="163">
        <v>22948.33</v>
      </c>
      <c r="M42" s="163">
        <v>22079.09775154765</v>
      </c>
      <c r="N42" s="163">
        <v>25049.76</v>
      </c>
      <c r="O42" s="163">
        <v>24106.37623596535</v>
      </c>
      <c r="P42" s="163">
        <v>26609.86</v>
      </c>
      <c r="Q42" s="163">
        <v>25699.32421306423</v>
      </c>
    </row>
    <row r="43" spans="1:20" ht="11.25">
      <c r="A43" s="158">
        <f t="shared" si="0"/>
        <v>39</v>
      </c>
      <c r="B43" s="161">
        <v>13327.67279026169</v>
      </c>
      <c r="C43" s="161">
        <v>12044.896264850604</v>
      </c>
      <c r="D43" s="161">
        <v>16407.858449286512</v>
      </c>
      <c r="E43" s="163">
        <v>14909.465123903825</v>
      </c>
      <c r="F43" s="163">
        <v>21726.557289840777</v>
      </c>
      <c r="G43" s="163">
        <v>19691.904501723664</v>
      </c>
      <c r="H43" s="163">
        <v>22052.83</v>
      </c>
      <c r="I43" s="163">
        <v>21305.59638909617</v>
      </c>
      <c r="J43" s="163">
        <v>22052.83</v>
      </c>
      <c r="K43" s="163">
        <v>21305.59638909617</v>
      </c>
      <c r="L43" s="163">
        <v>22948.33</v>
      </c>
      <c r="M43" s="163">
        <v>22219.588662376686</v>
      </c>
      <c r="N43" s="163">
        <v>25049.76</v>
      </c>
      <c r="O43" s="163">
        <v>24265.892106875228</v>
      </c>
      <c r="P43" s="163">
        <v>26609.86</v>
      </c>
      <c r="Q43" s="163">
        <v>25861.137173027284</v>
      </c>
      <c r="T43" s="157" t="s">
        <v>90</v>
      </c>
    </row>
    <row r="44" spans="1:20" ht="11.25">
      <c r="A44" s="158">
        <f t="shared" si="0"/>
        <v>40</v>
      </c>
      <c r="B44" s="161">
        <v>13327.67279026169</v>
      </c>
      <c r="C44" s="161">
        <v>12097.250611656595</v>
      </c>
      <c r="D44" s="161">
        <v>16407.858449286512</v>
      </c>
      <c r="E44" s="163">
        <v>14981.051185075474</v>
      </c>
      <c r="F44" s="163">
        <v>21726.557289840777</v>
      </c>
      <c r="G44" s="163">
        <v>19827.92686448904</v>
      </c>
      <c r="H44" s="163">
        <v>22052.83</v>
      </c>
      <c r="I44" s="163">
        <v>21442.154287861544</v>
      </c>
      <c r="J44" s="163">
        <v>22052.83</v>
      </c>
      <c r="K44" s="163">
        <v>21442.154287861544</v>
      </c>
      <c r="L44" s="163">
        <v>22948.33</v>
      </c>
      <c r="M44" s="163">
        <v>22357.747749347844</v>
      </c>
      <c r="N44" s="163">
        <v>25049.76</v>
      </c>
      <c r="O44" s="163">
        <v>24422.75092994596</v>
      </c>
      <c r="P44" s="163">
        <v>26609.86</v>
      </c>
      <c r="Q44" s="163">
        <v>26020.25372566612</v>
      </c>
      <c r="T44" s="157" t="s">
        <v>91</v>
      </c>
    </row>
    <row r="45" spans="1:17" ht="11.25">
      <c r="A45" s="158">
        <f t="shared" si="0"/>
        <v>41</v>
      </c>
      <c r="B45" s="161">
        <v>13327.67279026169</v>
      </c>
      <c r="C45" s="161">
        <v>12150.798670861572</v>
      </c>
      <c r="D45" s="161">
        <v>16407.858449286512</v>
      </c>
      <c r="E45" s="163">
        <v>15054.263072954502</v>
      </c>
      <c r="F45" s="163">
        <v>21726.557289840777</v>
      </c>
      <c r="G45" s="163">
        <v>19967.045569535825</v>
      </c>
      <c r="H45" s="163">
        <v>22052.83</v>
      </c>
      <c r="I45" s="163">
        <v>21581.81297590833</v>
      </c>
      <c r="J45" s="163">
        <v>22052.83</v>
      </c>
      <c r="K45" s="163">
        <v>21581.81297590833</v>
      </c>
      <c r="L45" s="163">
        <v>22948.33</v>
      </c>
      <c r="M45" s="163">
        <v>22499.03688992304</v>
      </c>
      <c r="N45" s="163">
        <v>25049.76</v>
      </c>
      <c r="O45" s="163">
        <v>24583.171026496977</v>
      </c>
      <c r="P45" s="163">
        <v>26609.86</v>
      </c>
      <c r="Q45" s="163">
        <v>26182.979203976916</v>
      </c>
    </row>
    <row r="46" spans="1:17" ht="11.25">
      <c r="A46" s="158">
        <f t="shared" si="0"/>
        <v>42</v>
      </c>
      <c r="B46" s="161">
        <v>13327.67279026169</v>
      </c>
      <c r="C46" s="161">
        <v>12204.467063487</v>
      </c>
      <c r="D46" s="161">
        <v>16407.858449286512</v>
      </c>
      <c r="E46" s="163">
        <v>15127.627662780722</v>
      </c>
      <c r="F46" s="163">
        <v>21726.557289840777</v>
      </c>
      <c r="G46" s="163">
        <v>20106.456136536806</v>
      </c>
      <c r="H46" s="163">
        <v>22052.83</v>
      </c>
      <c r="I46" s="163">
        <v>21721.648198909308</v>
      </c>
      <c r="J46" s="163">
        <v>22052.83</v>
      </c>
      <c r="K46" s="163">
        <v>21721.648198909308</v>
      </c>
      <c r="L46" s="163">
        <v>22948.33</v>
      </c>
      <c r="M46" s="163">
        <v>22640.49423071944</v>
      </c>
      <c r="N46" s="163">
        <v>25049.76</v>
      </c>
      <c r="O46" s="163">
        <v>24743.79042839182</v>
      </c>
      <c r="P46" s="163">
        <v>26609.86</v>
      </c>
      <c r="Q46" s="163">
        <v>26345.90071222534</v>
      </c>
    </row>
    <row r="47" spans="1:17" ht="11.25">
      <c r="A47" s="158">
        <f t="shared" si="0"/>
        <v>43</v>
      </c>
      <c r="B47" s="161">
        <v>13327.67279026169</v>
      </c>
      <c r="C47" s="161">
        <v>12262.310405367047</v>
      </c>
      <c r="D47" s="161">
        <v>16407.858449286512</v>
      </c>
      <c r="E47" s="163">
        <v>15206.50302532708</v>
      </c>
      <c r="F47" s="163">
        <v>21726.557289840777</v>
      </c>
      <c r="G47" s="163">
        <v>20256.621838938263</v>
      </c>
      <c r="H47" s="163">
        <v>22052.83</v>
      </c>
      <c r="I47" s="163">
        <v>21875.02418809928</v>
      </c>
      <c r="J47" s="163">
        <v>22052.83</v>
      </c>
      <c r="K47" s="163">
        <v>21871.81913405207</v>
      </c>
      <c r="L47" s="163">
        <v>22948.33</v>
      </c>
      <c r="M47" s="163">
        <v>22792.134803491623</v>
      </c>
      <c r="N47" s="163">
        <v>25049.76</v>
      </c>
      <c r="O47" s="163">
        <v>24916.465767581554</v>
      </c>
      <c r="P47" s="163">
        <v>26609.86</v>
      </c>
      <c r="Q47" s="163">
        <v>26520.653608709006</v>
      </c>
    </row>
    <row r="48" spans="1:17" ht="11.25">
      <c r="A48" s="158">
        <f>A47+1</f>
        <v>44</v>
      </c>
      <c r="B48" s="161">
        <v>13327.67279026169</v>
      </c>
      <c r="C48" s="161">
        <v>12316.3598851785</v>
      </c>
      <c r="D48" s="161">
        <v>16407.858449286512</v>
      </c>
      <c r="E48" s="163">
        <v>15280.401657142762</v>
      </c>
      <c r="F48" s="163">
        <v>21726.557289840777</v>
      </c>
      <c r="G48" s="163">
        <v>20397.00232771127</v>
      </c>
      <c r="H48" s="163">
        <v>22052.83</v>
      </c>
      <c r="I48" s="163">
        <v>22012.72824837596</v>
      </c>
      <c r="J48" s="163">
        <v>22052.83</v>
      </c>
      <c r="K48" s="163">
        <v>22012.180660315757</v>
      </c>
      <c r="L48" s="163">
        <v>22948.33</v>
      </c>
      <c r="M48" s="163">
        <v>22934.18390308638</v>
      </c>
      <c r="N48" s="163">
        <v>25049.76</v>
      </c>
      <c r="O48" s="163">
        <v>25077.67368774024</v>
      </c>
      <c r="P48" s="163">
        <v>26609.86</v>
      </c>
      <c r="Q48" s="163">
        <v>26684.237957605244</v>
      </c>
    </row>
    <row r="49" spans="1:17" ht="11.25">
      <c r="A49" s="158">
        <f>A48+1</f>
        <v>45</v>
      </c>
      <c r="B49" s="161">
        <v>13327.67279026169</v>
      </c>
      <c r="C49" s="161">
        <v>12331.52472186622</v>
      </c>
      <c r="D49" s="161">
        <v>16407.858449286512</v>
      </c>
      <c r="E49" s="163">
        <v>15301.288230296299</v>
      </c>
      <c r="F49" s="163">
        <v>21726.557289840777</v>
      </c>
      <c r="G49" s="163">
        <v>20436.43984331257</v>
      </c>
      <c r="H49" s="163">
        <v>22052.83</v>
      </c>
      <c r="I49" s="163">
        <v>22051.616834885077</v>
      </c>
      <c r="J49" s="163">
        <v>22052.83</v>
      </c>
      <c r="K49" s="163">
        <v>22051.616834885077</v>
      </c>
      <c r="L49" s="163">
        <v>22948.33</v>
      </c>
      <c r="M49" s="163">
        <v>22974.343787916492</v>
      </c>
      <c r="N49" s="163">
        <v>25049.76</v>
      </c>
      <c r="O49" s="163">
        <v>25122.849300397564</v>
      </c>
      <c r="P49" s="163">
        <v>26609.86</v>
      </c>
      <c r="Q49" s="163">
        <v>26730.36945786089</v>
      </c>
    </row>
    <row r="50" ht="11.25">
      <c r="A50" s="158"/>
    </row>
    <row r="51" spans="1:17" ht="11.25">
      <c r="A51" s="158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ht="11.25">
      <c r="A52" s="158"/>
    </row>
    <row r="53" ht="11.25">
      <c r="A53" s="158"/>
    </row>
    <row r="54" ht="11.25">
      <c r="A54" s="158"/>
    </row>
    <row r="55" ht="11.25">
      <c r="A55" s="158"/>
    </row>
    <row r="56" ht="11.25">
      <c r="A56" s="158"/>
    </row>
    <row r="57" ht="11.25">
      <c r="A57" s="158"/>
    </row>
    <row r="58" ht="11.25">
      <c r="A58" s="158"/>
    </row>
    <row r="59" ht="11.25">
      <c r="A59" s="157"/>
    </row>
    <row r="60" ht="11.25">
      <c r="A60" s="158"/>
    </row>
  </sheetData>
  <sheetProtection password="CE60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x</cp:lastModifiedBy>
  <cp:lastPrinted>2011-02-23T16:26:27Z</cp:lastPrinted>
  <dcterms:created xsi:type="dcterms:W3CDTF">2009-09-17T06:28:18Z</dcterms:created>
  <dcterms:modified xsi:type="dcterms:W3CDTF">2011-02-23T16:40:41Z</dcterms:modified>
  <cp:category/>
  <cp:version/>
  <cp:contentType/>
  <cp:contentStatus/>
</cp:coreProperties>
</file>