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8" yWindow="65500" windowWidth="6960" windowHeight="6972" tabRatio="446" activeTab="2"/>
  </bookViews>
  <sheets>
    <sheet name="Istruz" sheetId="1" r:id="rId1"/>
    <sheet name="TAB" sheetId="2" r:id="rId2"/>
    <sheet name="dsga ricost" sheetId="3" r:id="rId3"/>
    <sheet name="DEC RIC  DSGA" sheetId="4" r:id="rId4"/>
  </sheets>
  <definedNames/>
  <calcPr fullCalcOnLoad="1"/>
</workbook>
</file>

<file path=xl/comments3.xml><?xml version="1.0" encoding="utf-8"?>
<comments xmlns="http://schemas.openxmlformats.org/spreadsheetml/2006/main">
  <authors>
    <author>MARCATO FRANCESCO</author>
  </authors>
  <commentList>
    <comment ref="B8" authorId="0">
      <text>
        <r>
          <rPr>
            <b/>
            <sz val="8"/>
            <rFont val="Tahoma"/>
            <family val="0"/>
          </rPr>
          <t xml:space="preserve">BARRARE CON UNA  "X" SE E' DOCENTE DI RELIGIONE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<sst xmlns="http://schemas.openxmlformats.org/spreadsheetml/2006/main" count="1605" uniqueCount="379">
  <si>
    <t>STAMPARE E LEGGERE CON ATTENZIONE LE PRESENTI ISTRUZIONI.</t>
  </si>
  <si>
    <t>PALLINO</t>
  </si>
  <si>
    <t>Coord amm.vi</t>
  </si>
  <si>
    <t>dal 1/1/2002</t>
  </si>
  <si>
    <t>dal 1/1/2003</t>
  </si>
  <si>
    <t>2^</t>
  </si>
  <si>
    <t>3^</t>
  </si>
  <si>
    <t>1^F</t>
  </si>
  <si>
    <t>INCLUSO IND INTEG SPECIALE</t>
  </si>
  <si>
    <t>PER QUANTO DISPOSTO DAL SUDDETTO CCNL LA QUOTA DI I.I.S. VIENE CONGLOBATA NELLO STIPENDIO.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</si>
  <si>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</si>
  <si>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</si>
  <si>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</si>
  <si>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</si>
  <si>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</si>
  <si>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</si>
  <si>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</si>
  <si>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</si>
  <si>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</si>
  <si>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INCREM. TAB 1</t>
  </si>
  <si>
    <t>CCNL 16/05/03</t>
  </si>
  <si>
    <t>(INCLUSO I.I.S.)</t>
  </si>
  <si>
    <t>ANZIANITA' RESIDUA DETRATTI GLI ANNI DI INQUADRAMENTO:</t>
  </si>
  <si>
    <t>in Euro</t>
  </si>
  <si>
    <t>COMPETE LA POSIZIONE A REGIME</t>
  </si>
  <si>
    <t>POSIZIONI A REGIME  ANNUE LORDE ccnl 24/7/20034 DAL 01/01/2003 (INCLUSO I.I.S.)</t>
  </si>
  <si>
    <t>Aumenti CCNL 24/7//2003 Tabella 1 dal 1/1/2003</t>
  </si>
  <si>
    <t>Aumenti CCNL 24/7/2003 Tabella 1 dal 1/1/2002</t>
  </si>
  <si>
    <r>
      <t xml:space="preserve">Gradoni    </t>
    </r>
    <r>
      <rPr>
        <b/>
        <i/>
        <sz val="10"/>
        <rFont val="Arial"/>
        <family val="2"/>
      </rPr>
      <t xml:space="preserve">           Qualifiche &gt;</t>
    </r>
  </si>
  <si>
    <t xml:space="preserve">da 0 a 2    </t>
  </si>
  <si>
    <t>da 35 in poi</t>
  </si>
  <si>
    <t>CCNL 24/7/2003</t>
  </si>
  <si>
    <t>CCNL 07/12/2005</t>
  </si>
  <si>
    <t>AL1/1/05</t>
  </si>
  <si>
    <t>AL1/1/04</t>
  </si>
  <si>
    <t>STIPENDIO AL 1° Gennaio 2004 .</t>
  </si>
  <si>
    <t>INCREMENTI POSIZIONI STIPENDIALI DAL 01/01/2004 CCNL 7/12/05</t>
  </si>
  <si>
    <t>AUMENTI TAB 4 CCNL 24/7/2003</t>
  </si>
  <si>
    <t>dal 1/1/2004</t>
  </si>
  <si>
    <r>
      <t>AUMENTI TAB C CCNL</t>
    </r>
    <r>
      <rPr>
        <sz val="11"/>
        <color indexed="10"/>
        <rFont val="Times New Roman"/>
        <family val="1"/>
      </rPr>
      <t xml:space="preserve"> 7/12/2005</t>
    </r>
  </si>
  <si>
    <r>
      <t xml:space="preserve">AUMENTI TAB 4 CCNL </t>
    </r>
    <r>
      <rPr>
        <sz val="11"/>
        <color indexed="10"/>
        <rFont val="Times New Roman"/>
        <family val="1"/>
      </rPr>
      <t>24/7/2003</t>
    </r>
  </si>
  <si>
    <t>POSIZIONI STIPENDIALI DAL 01/01/2004 CCNL 7/12/05</t>
  </si>
  <si>
    <r>
      <t xml:space="preserve">ANZIANITA' TOT. (GIU.EC. + EC) AL </t>
    </r>
    <r>
      <rPr>
        <b/>
        <sz val="10"/>
        <color indexed="10"/>
        <rFont val="Arial"/>
        <family val="2"/>
      </rPr>
      <t>1/1/2004</t>
    </r>
  </si>
  <si>
    <t>MENSILE</t>
  </si>
  <si>
    <t>FASCIA DI INQUADRAMENTO CCNL 7/12/2005 :</t>
  </si>
  <si>
    <t>FASCIA DI INQUADRAMENTO CCNL 7/12/2005  :</t>
  </si>
  <si>
    <t>L</t>
  </si>
  <si>
    <t>M</t>
  </si>
  <si>
    <r>
      <t xml:space="preserve">AUMENTI POSIZIONI STIPENDIALI DAL 1/1/2007 - </t>
    </r>
    <r>
      <rPr>
        <b/>
        <sz val="10"/>
        <color indexed="12"/>
        <rFont val="Arial"/>
        <family val="2"/>
      </rPr>
      <t>CCNL 7/10/2007</t>
    </r>
  </si>
  <si>
    <r>
      <t xml:space="preserve">AUMENTI POSIZIONI STIPENDIALI DAL 31/12/2007 - </t>
    </r>
    <r>
      <rPr>
        <b/>
        <sz val="10"/>
        <color indexed="12"/>
        <rFont val="Arial"/>
        <family val="2"/>
      </rPr>
      <t>CCNL 7/10/2007</t>
    </r>
  </si>
  <si>
    <t>dal 1/1/2006</t>
  </si>
  <si>
    <r>
      <t>AUMENTI TAB 4 CCNL</t>
    </r>
    <r>
      <rPr>
        <sz val="11"/>
        <color indexed="10"/>
        <rFont val="Times New Roman"/>
        <family val="1"/>
      </rPr>
      <t xml:space="preserve"> 7/10/2007</t>
    </r>
  </si>
  <si>
    <t>AL1/1/06</t>
  </si>
  <si>
    <r>
      <t xml:space="preserve">ANZIANITA' TOT. (GIU.EC. + EC) AL </t>
    </r>
    <r>
      <rPr>
        <b/>
        <sz val="10"/>
        <color indexed="10"/>
        <rFont val="Arial"/>
        <family val="2"/>
      </rPr>
      <t>1/1/2006</t>
    </r>
  </si>
  <si>
    <t>ANZIANITA' TOT. (GIU.EC. + EC) AL 01/01/2008</t>
  </si>
  <si>
    <t>CCNL 07/10/2007</t>
  </si>
  <si>
    <t xml:space="preserve">PREVISTA DAL CCNL SOTTOSCRITTO IL 7/12/2005 </t>
  </si>
  <si>
    <t>FASCIA DI INQUADRAMENTO CCNL 7/10/2007  :</t>
  </si>
  <si>
    <t>UNA TANTUM VACANZA CONTRATTUALE 2006</t>
  </si>
  <si>
    <t>Aumento Tab ccnl 7/10/2007</t>
  </si>
  <si>
    <t>AL 31/12/07</t>
  </si>
  <si>
    <r>
      <t xml:space="preserve">POSIZIONI STIPENDIALI DAL 1/2/2005 - </t>
    </r>
    <r>
      <rPr>
        <b/>
        <sz val="11"/>
        <color indexed="10"/>
        <rFont val="Arial"/>
        <family val="2"/>
      </rPr>
      <t>CCNL 7/12/2005</t>
    </r>
  </si>
  <si>
    <r>
      <t xml:space="preserve">AUMENTI  STIPENDIALI DAL 1/1/2006 - </t>
    </r>
    <r>
      <rPr>
        <b/>
        <sz val="10"/>
        <color indexed="12"/>
        <rFont val="Arial"/>
        <family val="2"/>
      </rPr>
      <t>CCNL 7/10/2007</t>
    </r>
  </si>
  <si>
    <t>N</t>
  </si>
  <si>
    <t>J</t>
  </si>
  <si>
    <t>K</t>
  </si>
  <si>
    <r>
      <t xml:space="preserve">POSIZIONI STIPENDIALI DAL 1/1/2007 - </t>
    </r>
    <r>
      <rPr>
        <b/>
        <sz val="10"/>
        <color indexed="12"/>
        <rFont val="Arial"/>
        <family val="2"/>
      </rPr>
      <t>CCNL 7/10/2007</t>
    </r>
  </si>
  <si>
    <r>
      <t xml:space="preserve">POSIZIONI  STIPENDIALI DAL 1/1/2006 - </t>
    </r>
    <r>
      <rPr>
        <b/>
        <sz val="10"/>
        <color indexed="12"/>
        <rFont val="Arial"/>
        <family val="2"/>
      </rPr>
      <t>CCNL 7/10/2007 (INCLUSO AUMENTI UNA TANTUM 2006)</t>
    </r>
  </si>
  <si>
    <t>INCLUSO AUMENTI</t>
  </si>
  <si>
    <r>
      <t xml:space="preserve">POSIZIONI STIPENDIALI DAL </t>
    </r>
    <r>
      <rPr>
        <b/>
        <sz val="12"/>
        <color indexed="12"/>
        <rFont val="Times New Roman"/>
        <family val="1"/>
      </rPr>
      <t>01/01/2008</t>
    </r>
    <r>
      <rPr>
        <sz val="12"/>
        <color indexed="12"/>
        <rFont val="Times New Roman"/>
        <family val="1"/>
      </rPr>
      <t xml:space="preserve"> - </t>
    </r>
    <r>
      <rPr>
        <b/>
        <sz val="10"/>
        <color indexed="12"/>
        <rFont val="Arial"/>
        <family val="2"/>
      </rPr>
      <t xml:space="preserve">CCNL 7/10/2007 </t>
    </r>
    <r>
      <rPr>
        <b/>
        <i/>
        <sz val="10"/>
        <color indexed="12"/>
        <rFont val="Arial"/>
        <family val="2"/>
      </rPr>
      <t>A REGIME</t>
    </r>
  </si>
  <si>
    <t>in Lire</t>
  </si>
  <si>
    <t>FASCIA DI INQUADRAMENTO CCNL 7/10/2007:</t>
  </si>
  <si>
    <t>UNA TANTUM</t>
  </si>
  <si>
    <t>STIPENDIO AL 1° Gennaio 2006  INCLUSO I.I.S.</t>
  </si>
  <si>
    <t>STIPENDIO AL 1° GENNAIO 2008 INCLUSO I.I.S.</t>
  </si>
  <si>
    <t>Lire</t>
  </si>
  <si>
    <t xml:space="preserve">COMPETE LA POSIZIONE </t>
  </si>
  <si>
    <t>STIPENDIO A.L.+ I.I.S. CCNL 24/7/2003</t>
  </si>
  <si>
    <t>STIPENDIO A.L.+ I.I.S. CCNL 7/12/2005</t>
  </si>
  <si>
    <t>COMPETE L'UNA TANTUM</t>
  </si>
  <si>
    <t>STIPENDIO A.L.+ I.I.S. CCNL 2007</t>
  </si>
  <si>
    <t>AUMENTO TAB  CCNL 2007</t>
  </si>
  <si>
    <r>
      <t>VISTO</t>
    </r>
    <r>
      <rPr>
        <sz val="10"/>
        <rFont val="Times New Roman"/>
        <family val="1"/>
      </rPr>
      <t xml:space="preserve">   </t>
    </r>
  </si>
  <si>
    <r>
      <t>ANZIANITA' VALIDA FINI</t>
    </r>
    <r>
      <rPr>
        <b/>
        <sz val="10"/>
        <rFont val="Arial"/>
        <family val="2"/>
      </rPr>
      <t xml:space="preserve"> G.E.</t>
    </r>
  </si>
  <si>
    <r>
      <t>ANZ.TA' SOLO</t>
    </r>
    <r>
      <rPr>
        <b/>
        <sz val="10"/>
        <rFont val="Arial"/>
        <family val="2"/>
      </rPr>
      <t xml:space="preserve"> ECONOMICA</t>
    </r>
  </si>
  <si>
    <r>
      <t xml:space="preserve">ALLA DATA DEL </t>
    </r>
    <r>
      <rPr>
        <b/>
        <sz val="10"/>
        <rFont val="Arial"/>
        <family val="2"/>
      </rPr>
      <t>1/1/2005</t>
    </r>
    <r>
      <rPr>
        <sz val="10"/>
        <rFont val="Arial"/>
        <family val="2"/>
      </rPr>
      <t xml:space="preserve"> VIENE ATTRIBUITA LA POSIZIONE DI ANNI</t>
    </r>
  </si>
  <si>
    <r>
      <t xml:space="preserve">ALLA DATA DEL </t>
    </r>
    <r>
      <rPr>
        <b/>
        <sz val="10"/>
        <rFont val="Arial"/>
        <family val="2"/>
      </rPr>
      <t>1/1/2006</t>
    </r>
    <r>
      <rPr>
        <sz val="10"/>
        <rFont val="Arial"/>
        <family val="2"/>
      </rPr>
      <t xml:space="preserve"> VIENE ATTRIBUITA LA POSIZIONE DI ANNI</t>
    </r>
  </si>
  <si>
    <r>
      <t xml:space="preserve">ALLA DATA DEL </t>
    </r>
    <r>
      <rPr>
        <b/>
        <sz val="10"/>
        <rFont val="Arial"/>
        <family val="2"/>
      </rPr>
      <t>1/1/2007</t>
    </r>
    <r>
      <rPr>
        <sz val="10"/>
        <rFont val="Arial"/>
        <family val="2"/>
      </rPr>
      <t xml:space="preserve"> VIENE ATTRIBUITA LA POSIZIONE DI ANNI</t>
    </r>
  </si>
  <si>
    <r>
      <t xml:space="preserve">ALLA DATA DEL </t>
    </r>
    <r>
      <rPr>
        <b/>
        <sz val="10"/>
        <rFont val="Arial"/>
        <family val="2"/>
      </rPr>
      <t>1/1/2008</t>
    </r>
    <r>
      <rPr>
        <sz val="10"/>
        <rFont val="Arial"/>
        <family val="2"/>
      </rPr>
      <t xml:space="preserve"> VIENE ATTRIBUITA LA POSIZIONE DI ANNI</t>
    </r>
  </si>
  <si>
    <t xml:space="preserve">06/09/1972 N. 504, CONVERTITO CON MODIFICAZIONI NELLA L. 01/11/1972, N. 625 E DELL’ART. 172 DELLA L. 11/07/80 N. 312. </t>
  </si>
  <si>
    <t>Il  Contratto Collettivo Nazionale di Lavoro sottoscritto il 24/7/2003 e il successivo siglato il 7/12/2005 ;</t>
  </si>
  <si>
    <t>Respons. amm.ivi</t>
  </si>
  <si>
    <t>Direttore amm. Conserv. ed Accad.</t>
  </si>
  <si>
    <t>ANNI</t>
  </si>
  <si>
    <t>GIORNI</t>
  </si>
  <si>
    <t>MESI</t>
  </si>
  <si>
    <t>AA</t>
  </si>
  <si>
    <t>PASSAGGIO GRADONE</t>
  </si>
  <si>
    <t>ANZIANITA'</t>
  </si>
  <si>
    <t>ANZ NECESSARIA PASS GRAD:</t>
  </si>
  <si>
    <t xml:space="preserve"> DIFF GRAD:</t>
  </si>
  <si>
    <t>Collab. scolast.</t>
  </si>
  <si>
    <t>Assist. amm.vi ed equip.</t>
  </si>
  <si>
    <t>Docente scuola mat. ed elem.</t>
  </si>
  <si>
    <t>Docente dipl. istituti sec. II grado (1)</t>
  </si>
  <si>
    <t>Docente scuola media</t>
  </si>
  <si>
    <t>Docente laur. istituti sec.II grado (2)</t>
  </si>
  <si>
    <t>da 0 a 2</t>
  </si>
  <si>
    <t>da 3 a 8</t>
  </si>
  <si>
    <t>da 9 a 14</t>
  </si>
  <si>
    <t>da 15 a 20</t>
  </si>
  <si>
    <t>da 21 a 27</t>
  </si>
  <si>
    <t>da 28 a 34</t>
  </si>
  <si>
    <t>da 35</t>
  </si>
  <si>
    <t>COGNOME</t>
  </si>
  <si>
    <t>NOME</t>
  </si>
  <si>
    <t>ANZIANITA</t>
  </si>
  <si>
    <t>dal 01/01/2001</t>
  </si>
  <si>
    <t>a regime dal 1/1/2001</t>
  </si>
  <si>
    <t>+</t>
  </si>
  <si>
    <t>=</t>
  </si>
  <si>
    <t>da 15 a 27</t>
  </si>
  <si>
    <t>da 28</t>
  </si>
  <si>
    <t>dal 1/1/2001</t>
  </si>
  <si>
    <t>QUALIFICA</t>
  </si>
  <si>
    <t>CS</t>
  </si>
  <si>
    <t>RA</t>
  </si>
  <si>
    <t>DM</t>
  </si>
  <si>
    <t>DD</t>
  </si>
  <si>
    <t>SM</t>
  </si>
  <si>
    <t>DL</t>
  </si>
  <si>
    <t>DA</t>
  </si>
  <si>
    <t xml:space="preserve">Docente dipl. istituti sec. II grado </t>
  </si>
  <si>
    <t xml:space="preserve">Docente laur. istituti sec.II grado </t>
  </si>
  <si>
    <t>DAL</t>
  </si>
  <si>
    <t>AL</t>
  </si>
  <si>
    <t>IND DOC.</t>
  </si>
  <si>
    <t>RETRIBUZ.</t>
  </si>
  <si>
    <t xml:space="preserve">da 0 a 14 </t>
  </si>
  <si>
    <t>POSIZ INIZIALE</t>
  </si>
  <si>
    <t>RUOLO</t>
  </si>
  <si>
    <t>TOTALE PARZ.</t>
  </si>
  <si>
    <t>aa</t>
  </si>
  <si>
    <t>mm</t>
  </si>
  <si>
    <t>gg</t>
  </si>
  <si>
    <t>CCNL 26/5/99</t>
  </si>
  <si>
    <t>GIORNI tot</t>
  </si>
  <si>
    <t>FASCIA</t>
  </si>
  <si>
    <t>GG.</t>
  </si>
  <si>
    <t>CALCOLO DEL PRE RUOLO</t>
  </si>
  <si>
    <t>TABELLA A REGIME CCNL 26/5/99</t>
  </si>
  <si>
    <t>POSIZIONE ANNI:</t>
  </si>
  <si>
    <t>FASCIA DA</t>
  </si>
  <si>
    <t>FASCIA DI INQUADRAMENTO CCNL 1/8/96 :</t>
  </si>
  <si>
    <t>CCNL 4/8/95</t>
  </si>
  <si>
    <t>INCREMENTI</t>
  </si>
  <si>
    <t>STIPENDIALI</t>
  </si>
  <si>
    <t>DAL 1/1/96</t>
  </si>
  <si>
    <t>CCNL 1/8/96</t>
  </si>
  <si>
    <t>TABELLE POSIZIONI STIPENDIALI DAL 01/01/1996</t>
  </si>
  <si>
    <t>INCLUSO aum 1/1/96</t>
  </si>
  <si>
    <t>PASSAGGIO SUCCESSIVO DI GRADONE  IL:</t>
  </si>
  <si>
    <t xml:space="preserve">FASCIA </t>
  </si>
  <si>
    <t xml:space="preserve">TOTALE </t>
  </si>
  <si>
    <t xml:space="preserve">STIPENDIO </t>
  </si>
  <si>
    <t>fascia</t>
  </si>
  <si>
    <t xml:space="preserve"> 1/07/97</t>
  </si>
  <si>
    <t>MENSILI DAL</t>
  </si>
  <si>
    <t>TAB D1</t>
  </si>
  <si>
    <t>POSIZIONI</t>
  </si>
  <si>
    <t xml:space="preserve">A REGIME </t>
  </si>
  <si>
    <t>AUSILIARI</t>
  </si>
  <si>
    <t>A.B.</t>
  </si>
  <si>
    <t>A.B.C.</t>
  </si>
  <si>
    <t>ANZIANITA AA</t>
  </si>
  <si>
    <t>STIPENDI</t>
  </si>
  <si>
    <t>ANZIANIT</t>
  </si>
  <si>
    <t>I. FUNZ DPR 399/88</t>
  </si>
  <si>
    <t>MENSILI</t>
  </si>
  <si>
    <t>tab A2 INCREMENTI STIP DAL 1/12/1995</t>
  </si>
  <si>
    <t>ANNUI</t>
  </si>
  <si>
    <t>POSIZ</t>
  </si>
  <si>
    <t>DOC mat. ed elem.</t>
  </si>
  <si>
    <t>VERTICALE</t>
  </si>
  <si>
    <t>ORIZZONTALE</t>
  </si>
  <si>
    <t xml:space="preserve">Direttore amm. </t>
  </si>
  <si>
    <t>TAB A2</t>
  </si>
  <si>
    <t>Rateo</t>
  </si>
  <si>
    <t>TOTALE</t>
  </si>
  <si>
    <t>TOTALE A.L.</t>
  </si>
  <si>
    <t>TAB D2</t>
  </si>
  <si>
    <t>AUMENTI MENSILI DAL</t>
  </si>
  <si>
    <t>INQUADRAMENTO AL</t>
  </si>
  <si>
    <t>(IND GRAD)</t>
  </si>
  <si>
    <t>TABELLA INDENNITA' VACANZA CONTRATTUALE IMPORTI LORDI MENSILI</t>
  </si>
  <si>
    <t>LIVELLO</t>
  </si>
  <si>
    <t>da luglio 94</t>
  </si>
  <si>
    <t>da Aprile 94</t>
  </si>
  <si>
    <t>TAB A1</t>
  </si>
  <si>
    <t>(CON ASSORBIMENTO INDENN. VAC. CONTRATTUALE)</t>
  </si>
  <si>
    <t>INCREMENTI STIP DAL 1/1/1995</t>
  </si>
  <si>
    <t>IND GRAD</t>
  </si>
  <si>
    <t>SENZA aum 1/1/96</t>
  </si>
  <si>
    <t>TABELLE POSIZIONI STIPENDIALI DAL 01/11/1996</t>
  </si>
  <si>
    <t>ANNUI LORDI (INCL AUM 1/96 E 11/96)</t>
  </si>
  <si>
    <t>A REGIME</t>
  </si>
  <si>
    <t>Doc mat. ed elem.</t>
  </si>
  <si>
    <t>INCREMENTI POSIZIONI STIPENDIALI CCNL 26/05/1999</t>
  </si>
  <si>
    <t>A REGIME DAL 1/6/99</t>
  </si>
  <si>
    <t>TAB A CCNL 15/3/01 AUMENTI MENSILI dal 1/7/2000</t>
  </si>
  <si>
    <t>Retribuzione Professionale Docenti</t>
  </si>
  <si>
    <t>mensili</t>
  </si>
  <si>
    <t>annui lordi</t>
  </si>
  <si>
    <t>ANNUE</t>
  </si>
  <si>
    <t>(INCLUSO AUMENNTI 11/98)</t>
  </si>
  <si>
    <t>PER COMPIUTA ANZIANITA' DI ANNI</t>
  </si>
  <si>
    <t>AL DIPENDENTE COMPETE LO STIPENDIO SOTTOINDICATO</t>
  </si>
  <si>
    <t>TOTALE INCREMENTI STIPENDIALI AL 1/11/96</t>
  </si>
  <si>
    <t>(INCR. 1/1/96 + 1/11/96)</t>
  </si>
  <si>
    <t>MENSILI LORDI</t>
  </si>
  <si>
    <t>PARI A</t>
  </si>
  <si>
    <t>€uro</t>
  </si>
  <si>
    <r>
      <t>ANZIANITA' VALIDA FINI</t>
    </r>
    <r>
      <rPr>
        <b/>
        <sz val="7"/>
        <rFont val="Arial"/>
        <family val="2"/>
      </rPr>
      <t xml:space="preserve"> G.E.</t>
    </r>
  </si>
  <si>
    <r>
      <t>ANZ.TA' SOLO</t>
    </r>
    <r>
      <rPr>
        <b/>
        <sz val="7"/>
        <rFont val="Arial"/>
        <family val="2"/>
      </rPr>
      <t xml:space="preserve"> ECONOMICA</t>
    </r>
  </si>
  <si>
    <t>MM</t>
  </si>
  <si>
    <t>GG</t>
  </si>
  <si>
    <t xml:space="preserve">ANZIANITA' TOTALE AI FINI DELLA CARRIERA </t>
  </si>
  <si>
    <t>ANNI DI INQUADRAMENTO</t>
  </si>
  <si>
    <t>ANZI.TA'  GIUR.ed ECON. AL</t>
  </si>
  <si>
    <t>POSIZIONI STIPENDIALI AL 1/7/2000</t>
  </si>
  <si>
    <t xml:space="preserve">POSIZ. STIPEN. AL </t>
  </si>
  <si>
    <t xml:space="preserve"> 01/11/1996</t>
  </si>
  <si>
    <t>MENSILI   DAL</t>
  </si>
  <si>
    <t>Docen.mat. ed elem.</t>
  </si>
  <si>
    <t xml:space="preserve">Docente laur.ist II grado </t>
  </si>
  <si>
    <t>ANNI:</t>
  </si>
  <si>
    <t>MESI:</t>
  </si>
  <si>
    <t xml:space="preserve">STIPENDIO A.L. CCNL </t>
  </si>
  <si>
    <t>IL DIRIGENTE SCOLASTICO</t>
  </si>
  <si>
    <t>VISTA</t>
  </si>
  <si>
    <t>VISTO</t>
  </si>
  <si>
    <t>Il D.P.C.M- del 20/04/94, prorogato con D.L. 27/07/94 n. 469;</t>
  </si>
  <si>
    <t>ALTRI ASSEGNI PREVISTI PER LEGGE</t>
  </si>
  <si>
    <t>PERTANTO COMPETE IL SEGUENTE TRATTAMENTO ECONOMICO:</t>
  </si>
  <si>
    <t xml:space="preserve">DECRETO N.°  </t>
  </si>
  <si>
    <t xml:space="preserve">Del </t>
  </si>
  <si>
    <t>PERTANTO COMPETE IL SEGUENTE  TRATTAMENTO ECONOMICO:</t>
  </si>
  <si>
    <t xml:space="preserve">La Legge       11/07/1980   N° 312;   </t>
  </si>
  <si>
    <t>Il D.P.R.        25/06/198383,   N.345;</t>
  </si>
  <si>
    <t>Il D.P.R.         23/08/1988,   N.399;</t>
  </si>
  <si>
    <t>La Legge        14/11/1992,   N.438;</t>
  </si>
  <si>
    <t>Il D.P.R.        10/04/1987,   N. 209;</t>
  </si>
  <si>
    <t>Il D.P.R.        02/06/1981   N° 271;</t>
  </si>
  <si>
    <t>Il  Contratto Collettivo Nazionale di Lavoro sottoscritto il 04/08/95, nonche' il successivo sottoscritto il 01/08/96;</t>
  </si>
  <si>
    <t>ART.</t>
  </si>
  <si>
    <t>LO STIPENDIO VA RAPPORTATO ALLE EFFETTIVE ORE DI SERVIZIO PRESTATE.</t>
  </si>
  <si>
    <t>IL PRESENTE DECRETO SARA’ INVIATO ALLA RAGIONERIA PROVINCIALE DELLO STATO PER QUANTO DI COMPETENZA .</t>
  </si>
  <si>
    <t xml:space="preserve">GLI EFFETTI DEL PRESENTE DECRETO SONO SUBORDINATI AL PERDURARE DELL’ATTUALE RAPPORTO DI IMPIEGO. </t>
  </si>
  <si>
    <t xml:space="preserve">OVE, PER QUALSIASI CAUSA, DETTO RAPPORTO VENGA A SUBIRE MODIFICAZIONI O A CESSARE PRIMA DELLA DATA </t>
  </si>
  <si>
    <t xml:space="preserve">SUINDICATA, L’EFFICACIA DEL PRESENTE DECRETO VA LIMITATA ALLA DATA DELLA INTERVENUTA MODIFICAZIONE </t>
  </si>
  <si>
    <t>O CESSAZIONE.</t>
  </si>
  <si>
    <t xml:space="preserve">NELLE MORE DI QUANTO SOPRA, SE NE DISPONE IN VIA PROVVISORIA L’ESECUZIONE AI SENSI DELL’ART. 8 DEL D.L. </t>
  </si>
  <si>
    <t xml:space="preserve">LA DIREZIONE PROVINCIALE DEL TESORO E’ AUTORIZZATA, AI SENSI DELLE CITATE NORME, A VARIARE LA RELATIVA </t>
  </si>
  <si>
    <t>PARTITA DI SPESA FISSA.</t>
  </si>
  <si>
    <t xml:space="preserve">SONO FATTI SALVI EVENTUALI CONGUAGLI A DEBITO O A CREDITO CONSEGUENTI A OSSERVAZIONI DEL SUDDETTO </t>
  </si>
  <si>
    <t>ORGANO DEL MINISTERO DEL TESORO, DEL BILANCIO E DELLA PROGRAMMAZIONE ECONOMICA.</t>
  </si>
  <si>
    <t xml:space="preserve">Inserire, nelle celle in giallo,  il servizio pre-ruolo in maniera sintetica o analitica o entrambe </t>
  </si>
  <si>
    <t>INCREM STIP A.L.</t>
  </si>
  <si>
    <t>POSIZIONE STIPENDIALE AL</t>
  </si>
  <si>
    <t xml:space="preserve">ANZIANITA' TOT. (GIU.EC.) AL </t>
  </si>
  <si>
    <t>PASSAGGIO</t>
  </si>
  <si>
    <t>CCNL 15/03/01</t>
  </si>
  <si>
    <t>CCNL 26/05/99</t>
  </si>
  <si>
    <t>RETRIB. PROFESS. DOCENTI</t>
  </si>
  <si>
    <t>Il  D.L.           03/02/93, N. 29 e successive modificazioni e integrazioni;</t>
  </si>
  <si>
    <t>Il  D.L.vo       16/04/94, n. 297;</t>
  </si>
  <si>
    <t>la Legge         03/05/1999, n. 124;</t>
  </si>
  <si>
    <t>AVVERSO IL PRESENTE DECRETO E’ ESPERIBILE IMPUGNATIVA A NORMA DELL'ART. 63 E SEGUENTI DEL D.LVO</t>
  </si>
  <si>
    <t>30/03/2001 N. 165</t>
  </si>
  <si>
    <t>Il  Contratto Collettivo Nazionale di Lavoro sottoscritto il 26/05/99 e il successivo sottoscritto il15/03/2001;</t>
  </si>
  <si>
    <t>ALLA DATA  DEL</t>
  </si>
  <si>
    <t>ANZIANITA' TOTALE</t>
  </si>
  <si>
    <t>PER QUANTO ESPOSTO ALLA SUDDETTA DATA E' INQUADRATO NELLA</t>
  </si>
  <si>
    <t>POSIZIONE</t>
  </si>
  <si>
    <t xml:space="preserve"> DECRETA</t>
  </si>
  <si>
    <t xml:space="preserve">CORRISPONDENTE  ALL'ANZIANITA'   DI   ANNI </t>
  </si>
  <si>
    <t>L'  ANZIANITA' SOLO ECONOMICA DI ANNI</t>
  </si>
  <si>
    <t>VENGONO RICONOSCIUTE LE SEGUENTI ANZIANITA' AI FINI DELLA CARRIERA:</t>
  </si>
  <si>
    <t>INCREM STIP A.L. CCNL</t>
  </si>
  <si>
    <t>1/8/96</t>
  </si>
  <si>
    <t>26/05/99</t>
  </si>
  <si>
    <t>POSIZIONE STIPENDIALE DI CUI LA</t>
  </si>
  <si>
    <t>TOTALE INCREMENTI POSIZIONI STIPENDIALI CCNL 26/05/1999 Tab D1+D2</t>
  </si>
  <si>
    <t>Dsga</t>
  </si>
  <si>
    <t>DSGA</t>
  </si>
  <si>
    <t>24/7/2003</t>
  </si>
  <si>
    <t>STIPENDIO A.L. CCNL (ST+IIS)</t>
  </si>
  <si>
    <t>DIFFERENZIALE 30%</t>
  </si>
  <si>
    <t>Tab A ccnl 23/1/2009</t>
  </si>
  <si>
    <r>
      <t xml:space="preserve">Gradoni    </t>
    </r>
    <r>
      <rPr>
        <b/>
        <i/>
        <sz val="8"/>
        <rFont val="Arial"/>
        <family val="2"/>
      </rPr>
      <t xml:space="preserve">           Qualifiche &gt;</t>
    </r>
  </si>
  <si>
    <t>REGIME</t>
  </si>
  <si>
    <t xml:space="preserve">da 0 a 8    </t>
  </si>
  <si>
    <t>da 0 a 8</t>
  </si>
  <si>
    <t>INDENN VAC CONTRATTUALE</t>
  </si>
  <si>
    <r>
      <t xml:space="preserve">TAB A DAL </t>
    </r>
    <r>
      <rPr>
        <b/>
        <sz val="10"/>
        <rFont val="Arial"/>
        <family val="2"/>
      </rPr>
      <t>1/4/2010</t>
    </r>
  </si>
  <si>
    <r>
      <t xml:space="preserve">TAB A DAL </t>
    </r>
    <r>
      <rPr>
        <b/>
        <sz val="10"/>
        <rFont val="Arial"/>
        <family val="2"/>
      </rPr>
      <t>1/7/2010</t>
    </r>
  </si>
  <si>
    <r>
      <t xml:space="preserve">TAB A DAL </t>
    </r>
    <r>
      <rPr>
        <b/>
        <sz val="10"/>
        <rFont val="Arial"/>
        <family val="2"/>
      </rPr>
      <t>1/1/2009</t>
    </r>
  </si>
  <si>
    <r>
      <t xml:space="preserve">dal </t>
    </r>
    <r>
      <rPr>
        <b/>
        <sz val="10"/>
        <rFont val="Arial"/>
        <family val="2"/>
      </rPr>
      <t>1/4/2008</t>
    </r>
  </si>
  <si>
    <r>
      <t xml:space="preserve">dal </t>
    </r>
    <r>
      <rPr>
        <b/>
        <sz val="10"/>
        <rFont val="Arial"/>
        <family val="2"/>
      </rPr>
      <t>1/7/2008</t>
    </r>
  </si>
  <si>
    <t>ANZIANITA' TOT. (GIU.EC. + EC) AL 01/04/2008</t>
  </si>
  <si>
    <t>CCNL 23/01/2009</t>
  </si>
  <si>
    <t>AUM TAB A CCNL 23/1/2009</t>
  </si>
  <si>
    <t>FASCIA DI INQUADRAMENTO CCNL 23/1/2009  :</t>
  </si>
  <si>
    <t>ANZIANITA' TOT. (GIU.EC. + EC) AL 01/07/2008</t>
  </si>
  <si>
    <t>STIPENDIO AL 1° GENNAIO 2009 INCLUSO I.I.S.</t>
  </si>
  <si>
    <t>ANZIANITA' TOT. (GIU.EC. + EC) AL 31/12/2008</t>
  </si>
  <si>
    <t>STIPENDIO AL 1° APRILE 2010 INCLUSO I.I.S.</t>
  </si>
  <si>
    <t>AUM IND VAC CONTRATTUALE</t>
  </si>
  <si>
    <t>STIPENDIO AL 1° LUGLIO 2010 INCLUSO I.I.S.</t>
  </si>
  <si>
    <t>ANZIANITA' TOT. (GIU.EC. + EC) AL 31/03/2010</t>
  </si>
  <si>
    <t>ANZIANITA' TOT. (GIU.EC. + EC) AL 30/06/2010</t>
  </si>
  <si>
    <r>
      <t xml:space="preserve">ANZIANITA' </t>
    </r>
    <r>
      <rPr>
        <b/>
        <i/>
        <sz val="8"/>
        <rFont val="Arial"/>
        <family val="2"/>
      </rPr>
      <t>SOLO</t>
    </r>
    <r>
      <rPr>
        <b/>
        <sz val="8"/>
        <rFont val="Arial"/>
        <family val="2"/>
      </rPr>
      <t xml:space="preserve"> ECONOMICA AL 24/7/2003</t>
    </r>
  </si>
  <si>
    <t>TOTALE SERVIZIO AL 24/7/2003</t>
  </si>
  <si>
    <t>IN LIRE</t>
  </si>
  <si>
    <t>IN EURO</t>
  </si>
  <si>
    <t>LIRE</t>
  </si>
  <si>
    <t>EURO</t>
  </si>
  <si>
    <t>ANZIANITA' GIUR ED ECO AL 24/7/2003</t>
  </si>
  <si>
    <t xml:space="preserve">STIPENDIO AL </t>
  </si>
  <si>
    <t xml:space="preserve">ANZIANITA' TOT. (GIU.EC. + EC) AL </t>
  </si>
  <si>
    <t>DATA DECORRENZA</t>
  </si>
  <si>
    <r>
      <t xml:space="preserve">  </t>
    </r>
    <r>
      <rPr>
        <sz val="10"/>
        <color indexed="10"/>
        <rFont val="Arial"/>
        <family val="2"/>
      </rPr>
      <t>POSIZIONE DI  ANNI:</t>
    </r>
  </si>
  <si>
    <t>INQUADRAMENTO E PROGRESSIONE DSGA TEMPORIZZATI</t>
  </si>
  <si>
    <t xml:space="preserve">ANZIANITA' TOT. (GIURIDICA ED EC. + EC) AL </t>
  </si>
  <si>
    <t>A REGIME INCLUSO I.I.S.</t>
  </si>
  <si>
    <t>STIPENDIO AL</t>
  </si>
  <si>
    <t>progressione teorica</t>
  </si>
  <si>
    <t>DEL 18 ANNO DI SERVIZIO ,  MENTRE L'ANZIANITA' RESIDUA DI ANNI</t>
  </si>
  <si>
    <t>E MESI</t>
  </si>
  <si>
    <t>SARA' UTILE</t>
  </si>
  <si>
    <r>
      <t xml:space="preserve">ALLA DATA DEL </t>
    </r>
    <r>
      <rPr>
        <b/>
        <sz val="10"/>
        <rFont val="Arial"/>
        <family val="2"/>
      </rPr>
      <t xml:space="preserve">01/01/2004 </t>
    </r>
    <r>
      <rPr>
        <sz val="10"/>
        <rFont val="Arial"/>
        <family val="2"/>
      </rPr>
      <t>VIENE ATTRIBUITA LA POSIZIONE DI ANNI</t>
    </r>
  </si>
  <si>
    <t xml:space="preserve">PREVISTA DAL CCNL SOTTOSCRITTO IL 7/10/2007 </t>
  </si>
  <si>
    <r>
      <t xml:space="preserve">ALLA DATA DEL </t>
    </r>
    <r>
      <rPr>
        <b/>
        <sz val="10"/>
        <rFont val="Arial"/>
        <family val="2"/>
      </rPr>
      <t>1/4/2008</t>
    </r>
    <r>
      <rPr>
        <sz val="10"/>
        <rFont val="Arial"/>
        <family val="2"/>
      </rPr>
      <t xml:space="preserve"> VIENE ATTRIBUITA LA POSIZIONE DI ANNI</t>
    </r>
  </si>
  <si>
    <t>PREVISTA DAL CCNL SOTTOSCRITTO IL 23/01/2009</t>
  </si>
  <si>
    <t>CCNL 7/10/2007</t>
  </si>
  <si>
    <t>AUMENTO TAB  A CCNL 2009</t>
  </si>
  <si>
    <t>STIPENDIO AL 1°APRILE 2008 INCLUSO I.I.S.</t>
  </si>
  <si>
    <r>
      <t xml:space="preserve">ALLA DATA DEL </t>
    </r>
    <r>
      <rPr>
        <b/>
        <sz val="10"/>
        <rFont val="Arial"/>
        <family val="2"/>
      </rPr>
      <t>1/7/2008</t>
    </r>
    <r>
      <rPr>
        <sz val="10"/>
        <rFont val="Arial"/>
        <family val="2"/>
      </rPr>
      <t xml:space="preserve"> VIENE ATTRIBUITA LA POSIZIONE DI ANNI</t>
    </r>
  </si>
  <si>
    <t>STIPENDIO AL 1° LUGLIO 2008 INCLUSO I.I.S.</t>
  </si>
  <si>
    <r>
      <t xml:space="preserve">ALLA DATA DEL </t>
    </r>
    <r>
      <rPr>
        <b/>
        <sz val="10"/>
        <rFont val="Arial"/>
        <family val="2"/>
      </rPr>
      <t>1/1/2009</t>
    </r>
    <r>
      <rPr>
        <sz val="10"/>
        <rFont val="Arial"/>
        <family val="2"/>
      </rPr>
      <t xml:space="preserve"> VIENE ATTRIBUITA LA POSIZIONE DI ANNI</t>
    </r>
  </si>
  <si>
    <r>
      <t xml:space="preserve">ALLA DATA DEL </t>
    </r>
    <r>
      <rPr>
        <b/>
        <sz val="10"/>
        <rFont val="Arial"/>
        <family val="2"/>
      </rPr>
      <t>1/4/2010</t>
    </r>
    <r>
      <rPr>
        <sz val="10"/>
        <rFont val="Arial"/>
        <family val="2"/>
      </rPr>
      <t xml:space="preserve"> VIENE ATTRIBUITA LA POSIZIONE DI ANNI</t>
    </r>
  </si>
  <si>
    <t>AUMENTO IND VACANZA CONTRATTUALE</t>
  </si>
  <si>
    <r>
      <t xml:space="preserve">ALLA DATA DEL </t>
    </r>
    <r>
      <rPr>
        <b/>
        <sz val="10"/>
        <rFont val="Arial"/>
        <family val="2"/>
      </rPr>
      <t>1/7/2010</t>
    </r>
    <r>
      <rPr>
        <sz val="10"/>
        <rFont val="Arial"/>
        <family val="2"/>
      </rPr>
      <t xml:space="preserve"> VIENE ATTRIBUITA LA POSIZIONE DI ANNI</t>
    </r>
  </si>
  <si>
    <t>Qualifiche &gt;</t>
  </si>
  <si>
    <t>Il  Contratto Collettivo Nazionale di Lavoro sottoscritto il 07/10/2007  e il successivo siglato il 23/01/2009;</t>
  </si>
  <si>
    <t>La sequenza contrattuale 2008</t>
  </si>
  <si>
    <t>La documentazione presentata dal/DSGA</t>
  </si>
  <si>
    <t xml:space="preserve">VISTA </t>
  </si>
  <si>
    <t>VENGONO RICONOSCIUTI I SEGUENTI SERVIZI :</t>
  </si>
  <si>
    <t xml:space="preserve">TABELLA A  DEL CCNL  </t>
  </si>
  <si>
    <t>PER IL SUCCESSIVO PASSAGGIO DI GRADONE IL:</t>
  </si>
  <si>
    <t>PREVISTA DAL CCNL SOTTOSCRITTO IL 7/10/2007</t>
  </si>
  <si>
    <t xml:space="preserve">INQUADRAMENTO AI SENSI DELLA SENTENZA ABRUZZO </t>
  </si>
  <si>
    <t>Ricostruzione carriera al 24/07/2003 - Delibera Corte deI Conti Abruzzo n. 1/2015/SUCC</t>
  </si>
  <si>
    <t xml:space="preserve">SARA' UTILE AL CONSEGUIMENTO DELLE ANZIANITA' PREVISTE DALL'ART. 4 C 3 DEL DPR 399/88 AL COMPIMENTO </t>
  </si>
  <si>
    <t>Con il presente software si effettua l’inquadramento e la progressione al 24/07/2003 come da sentenza Delibera Corte deI Conti Abruzzo n. 1/2015/SUCC.</t>
  </si>
  <si>
    <t>Il file vi produce in automatico l’inquadramento e la progressione non tenendo conto della Temporizzazione, ma del riconoscimento tramite Ricostruzione di carriera (più favorevole), elaborando anche una bozza di decreto in automatico (fac simile implementabile).</t>
  </si>
  <si>
    <t>Preciso che il file considera i “passaggi di gradone”  e il ricongiungimento dell’anzianità SOLO ECONOMICA al compimento del 18^ anno di anzianità G.E.</t>
  </si>
  <si>
    <r>
      <t xml:space="preserve"> Purtroppo le variabili, in questi casi,  sono tantissime e farlo in automatico richiederebbe giorni di programmazione (tempo che purtroppo non ho). </t>
    </r>
    <r>
      <rPr>
        <sz val="11"/>
        <rFont val="Wingdings"/>
        <family val="0"/>
      </rPr>
      <t>L</t>
    </r>
  </si>
  <si>
    <t>Tutto il resto è automatico e potete verificarlo.</t>
  </si>
  <si>
    <t>Ovviamente l’ideatore non si assume nessuna responsabilità su eventuali errori e/o inesattezze, trattasi di un prototipo(Gratuito) non testato, ogni operatore ha la possibilità e il dovere di controllare e validare i dati se lo ritiene.</t>
  </si>
  <si>
    <r>
      <t>Gli unici dati da inserire, oltre a vs nome e cognome  è l’anzianità “</t>
    </r>
    <r>
      <rPr>
        <b/>
        <sz val="11"/>
        <rFont val="Calibri"/>
        <family val="2"/>
      </rPr>
      <t>Giuridica ed Economica”</t>
    </r>
    <r>
      <rPr>
        <sz val="11"/>
        <rFont val="Calibri"/>
        <family val="2"/>
      </rPr>
      <t xml:space="preserve"> e SOLO “</t>
    </r>
    <r>
      <rPr>
        <b/>
        <sz val="11"/>
        <rFont val="Calibri"/>
        <family val="2"/>
      </rPr>
      <t>Economica”</t>
    </r>
    <r>
      <rPr>
        <sz val="11"/>
        <rFont val="Calibri"/>
        <family val="2"/>
      </rPr>
      <t xml:space="preserve"> al 24/07/2003.</t>
    </r>
  </si>
  <si>
    <t>Stesso dicasi per il ricongiungimento dell’anzianità “solo economica”   a quella GE al compimento del 18^ anno di servizio, anche qui dovete verificare la data proposta dal software in quanto vi segnala l’evento alla data prestabilita che potrebbe non coincidere con quella effettiva .  (trattasi sempre di mesi)</t>
  </si>
  <si>
    <t>Una precisazione a tal proposito: in fase di inquadramento al 24/7/2003 vi dice anche quando avverrà il passaggio di gradone. Qui bisogna fare attenzione perché  il passaggio avviene alla data predefinita dal CCNL (mentre quella corretta è quella indicata, sempre dal software, in sede di inquadramento ). Pertanto dovrete inserire a mano tale evento.   (trattasi sempre di mesi)</t>
  </si>
  <si>
    <t>Eventuali duplicazioni di comunicazioni di passaggio di gradoni nella progressione successiva sono ininfluenti sul calcolo.</t>
  </si>
  <si>
    <t>PINCA</t>
  </si>
  <si>
    <t>(COMPILA SOLO CELLE GIALLO)</t>
  </si>
  <si>
    <t>COMPILARE SOLO LE QUATTRO CELLE IN GIALLO……</t>
  </si>
  <si>
    <t>Buon lavoro . Francesco Marcato Dsga IC galilei Taranto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</si>
</sst>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"/>
    <numFmt numFmtId="188" formatCode="0.0"/>
    <numFmt numFmtId="189" formatCode="&quot;L.&quot;\ #,##0"/>
    <numFmt numFmtId="190" formatCode="0.0000"/>
    <numFmt numFmtId="191" formatCode="0.00000"/>
    <numFmt numFmtId="192" formatCode="mmmm\-yy"/>
    <numFmt numFmtId="193" formatCode="d\-mmm\-yy"/>
    <numFmt numFmtId="194" formatCode="[$€-2]\ #,##0"/>
    <numFmt numFmtId="195" formatCode="#\ ?/2"/>
    <numFmt numFmtId="196" formatCode="mmmmm"/>
    <numFmt numFmtId="197" formatCode="d/m/yy"/>
    <numFmt numFmtId="198" formatCode="0.0E+00"/>
    <numFmt numFmtId="199" formatCode="0E+00"/>
    <numFmt numFmtId="200" formatCode="#,##0.0"/>
    <numFmt numFmtId="201" formatCode="&quot;L.&quot;\ #,##0.0"/>
    <numFmt numFmtId="202" formatCode="&quot;L.&quot;\ #,##0.00"/>
    <numFmt numFmtId="203" formatCode="&quot;L.&quot;\ #,##0;[Red]&quot;L.&quot;\ #,##0"/>
    <numFmt numFmtId="204" formatCode="[$€-2]\ #.##000_);[Red]\([$€-2]\ #.##000\)"/>
    <numFmt numFmtId="205" formatCode="[$-410]dddd\ d\ mmmm\ yyyy"/>
    <numFmt numFmtId="206" formatCode="d/m/yy;@"/>
    <numFmt numFmtId="207" formatCode="[$€-2]\ #,##0;[Red]\-[$€-2]\ #,##0"/>
    <numFmt numFmtId="208" formatCode="[$€-2]\ #,##0.00;[Red]\-[$€-2]\ #,##0.00"/>
    <numFmt numFmtId="209" formatCode="[&lt;=9999999]####\-####;\(0###\)\ ####\-####"/>
    <numFmt numFmtId="210" formatCode="d/m"/>
    <numFmt numFmtId="211" formatCode="#,##0.000"/>
    <numFmt numFmtId="212" formatCode="[$€-2]\ #,##0.000;[Red]\-[$€-2]\ #,##0.000"/>
    <numFmt numFmtId="213" formatCode="[$€-2]\ #,##0.0000;[Red]\-[$€-2]\ #,##0.0000"/>
    <numFmt numFmtId="214" formatCode="&quot;€&quot;\ #,##0.00"/>
    <numFmt numFmtId="215" formatCode="&quot;€&quot;\ #,##0"/>
    <numFmt numFmtId="216" formatCode="dd/mm/yy;@"/>
    <numFmt numFmtId="217" formatCode="[$-410]d\-mmm\-yy;@"/>
  </numFmts>
  <fonts count="144">
    <font>
      <sz val="10"/>
      <name val="Arial"/>
      <family val="0"/>
    </font>
    <font>
      <b/>
      <sz val="7.5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7.5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12"/>
      <color indexed="57"/>
      <name val="Arial"/>
      <family val="2"/>
    </font>
    <font>
      <sz val="10"/>
      <color indexed="1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u val="single"/>
      <sz val="8"/>
      <color indexed="10"/>
      <name val="Arial"/>
      <family val="2"/>
    </font>
    <font>
      <i/>
      <sz val="12"/>
      <color indexed="57"/>
      <name val="Times New Roman"/>
      <family val="1"/>
    </font>
    <font>
      <i/>
      <sz val="10"/>
      <color indexed="57"/>
      <name val="Arial"/>
      <family val="0"/>
    </font>
    <font>
      <i/>
      <sz val="7.5"/>
      <color indexed="57"/>
      <name val="Times New Roman"/>
      <family val="1"/>
    </font>
    <font>
      <b/>
      <sz val="10"/>
      <color indexed="48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8"/>
      <color indexed="48"/>
      <name val="Arial"/>
      <family val="2"/>
    </font>
    <font>
      <sz val="8"/>
      <name val="Tahoma"/>
      <family val="0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57"/>
      <name val="Arial"/>
      <family val="0"/>
    </font>
    <font>
      <b/>
      <i/>
      <sz val="10"/>
      <color indexed="57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b/>
      <sz val="8"/>
      <color indexed="57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sz val="5"/>
      <name val="Arial"/>
      <family val="2"/>
    </font>
    <font>
      <sz val="7"/>
      <color indexed="57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Arial"/>
      <family val="2"/>
    </font>
    <font>
      <b/>
      <sz val="7.5"/>
      <color indexed="9"/>
      <name val="Times New Roman"/>
      <family val="1"/>
    </font>
    <font>
      <sz val="10"/>
      <color indexed="9"/>
      <name val="Arial"/>
      <family val="2"/>
    </font>
    <font>
      <sz val="8"/>
      <color indexed="57"/>
      <name val="Arial"/>
      <family val="2"/>
    </font>
    <font>
      <sz val="7"/>
      <color indexed="10"/>
      <name val="Arial"/>
      <family val="2"/>
    </font>
    <font>
      <b/>
      <sz val="8"/>
      <name val="Tahoma"/>
      <family val="0"/>
    </font>
    <font>
      <b/>
      <sz val="12"/>
      <color indexed="57"/>
      <name val="Arial"/>
      <family val="2"/>
    </font>
    <font>
      <sz val="10"/>
      <color indexed="57"/>
      <name val="Arial"/>
      <family val="0"/>
    </font>
    <font>
      <sz val="7.5"/>
      <color indexed="57"/>
      <name val="Times New Roman"/>
      <family val="1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b/>
      <sz val="14"/>
      <color indexed="12"/>
      <name val="Arial"/>
      <family val="2"/>
    </font>
    <font>
      <sz val="7"/>
      <name val="Times New Roman"/>
      <family val="1"/>
    </font>
    <font>
      <b/>
      <sz val="11"/>
      <color indexed="12"/>
      <name val="Arial"/>
      <family val="2"/>
    </font>
    <font>
      <sz val="8"/>
      <color indexed="45"/>
      <name val="Arial"/>
      <family val="2"/>
    </font>
    <font>
      <i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7.5"/>
      <color indexed="10"/>
      <name val="Times New Roman"/>
      <family val="1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u val="single"/>
      <sz val="12"/>
      <color indexed="10"/>
      <name val="Times New Roman"/>
      <family val="1"/>
    </font>
    <font>
      <b/>
      <sz val="11"/>
      <color indexed="10"/>
      <name val="Arial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2"/>
      <name val="Times New Roman"/>
      <family val="1"/>
    </font>
    <font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color indexed="20"/>
      <name val="Arial"/>
      <family val="2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57"/>
      <name val="Times New Roman"/>
      <family val="1"/>
    </font>
    <font>
      <sz val="11"/>
      <name val="Calibri"/>
      <family val="2"/>
    </font>
    <font>
      <sz val="11"/>
      <name val="Wingdings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50"/>
      <name val="Arial"/>
      <family val="2"/>
    </font>
    <font>
      <b/>
      <u val="single"/>
      <sz val="9"/>
      <color indexed="62"/>
      <name val="Arial"/>
      <family val="2"/>
    </font>
    <font>
      <b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92D050"/>
      <name val="Arial"/>
      <family val="2"/>
    </font>
    <font>
      <b/>
      <u val="single"/>
      <sz val="9"/>
      <color theme="4"/>
      <name val="Arial"/>
      <family val="2"/>
    </font>
    <font>
      <b/>
      <u val="single"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5" fillId="20" borderId="1" applyNumberFormat="0" applyAlignment="0" applyProtection="0"/>
    <xf numFmtId="0" fontId="126" fillId="0" borderId="2" applyNumberFormat="0" applyFill="0" applyAlignment="0" applyProtection="0"/>
    <xf numFmtId="0" fontId="127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7" borderId="0" applyNumberFormat="0" applyBorder="0" applyAlignment="0" applyProtection="0"/>
    <xf numFmtId="0" fontId="1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9" fillId="29" borderId="0" applyNumberFormat="0" applyBorder="0" applyAlignment="0" applyProtection="0"/>
    <xf numFmtId="0" fontId="0" fillId="30" borderId="4" applyNumberFormat="0" applyFont="0" applyAlignment="0" applyProtection="0"/>
    <xf numFmtId="0" fontId="130" fillId="20" borderId="5" applyNumberFormat="0" applyAlignment="0" applyProtection="0"/>
    <xf numFmtId="9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6" fillId="0" borderId="8" applyNumberFormat="0" applyFill="0" applyAlignment="0" applyProtection="0"/>
    <xf numFmtId="0" fontId="136" fillId="0" borderId="0" applyNumberFormat="0" applyFill="0" applyBorder="0" applyAlignment="0" applyProtection="0"/>
    <xf numFmtId="0" fontId="137" fillId="0" borderId="9" applyNumberFormat="0" applyFill="0" applyAlignment="0" applyProtection="0"/>
    <xf numFmtId="0" fontId="138" fillId="31" borderId="0" applyNumberFormat="0" applyBorder="0" applyAlignment="0" applyProtection="0"/>
    <xf numFmtId="0" fontId="1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1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41" fontId="3" fillId="0" borderId="10" xfId="46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89" fontId="0" fillId="0" borderId="0" xfId="0" applyNumberForma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 locked="0"/>
    </xf>
    <xf numFmtId="3" fontId="7" fillId="0" borderId="15" xfId="0" applyNumberFormat="1" applyFont="1" applyFill="1" applyBorder="1" applyAlignment="1" applyProtection="1">
      <alignment/>
      <protection/>
    </xf>
    <xf numFmtId="1" fontId="47" fillId="0" borderId="0" xfId="0" applyNumberFormat="1" applyFont="1" applyFill="1" applyBorder="1" applyAlignment="1" applyProtection="1">
      <alignment horizontal="center"/>
      <protection locked="0"/>
    </xf>
    <xf numFmtId="3" fontId="4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ill="1" applyBorder="1" applyAlignment="1" applyProtection="1">
      <alignment/>
      <protection/>
    </xf>
    <xf numFmtId="3" fontId="7" fillId="0" borderId="16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3" fillId="33" borderId="17" xfId="62" applyNumberFormat="1" applyFont="1" applyFill="1" applyBorder="1" applyAlignment="1" applyProtection="1">
      <alignment horizontal="center"/>
      <protection locked="0"/>
    </xf>
    <xf numFmtId="1" fontId="3" fillId="33" borderId="18" xfId="0" applyNumberFormat="1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left" shrinkToFi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top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2" fillId="0" borderId="19" xfId="0" applyNumberFormat="1" applyFont="1" applyBorder="1" applyAlignment="1">
      <alignment/>
    </xf>
    <xf numFmtId="193" fontId="2" fillId="0" borderId="20" xfId="0" applyNumberFormat="1" applyFont="1" applyBorder="1" applyAlignment="1">
      <alignment/>
    </xf>
    <xf numFmtId="0" fontId="9" fillId="0" borderId="0" xfId="0" applyFont="1" applyAlignment="1">
      <alignment horizontal="justify" vertical="top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3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7" fillId="0" borderId="0" xfId="0" applyFont="1" applyAlignment="1">
      <alignment horizontal="justify" vertical="top"/>
    </xf>
    <xf numFmtId="0" fontId="6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41" fontId="3" fillId="0" borderId="0" xfId="46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 locked="0"/>
    </xf>
    <xf numFmtId="14" fontId="1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8" fontId="14" fillId="0" borderId="0" xfId="62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1" fontId="0" fillId="0" borderId="0" xfId="46" applyFont="1" applyAlignment="1" applyProtection="1">
      <alignment/>
      <protection locked="0"/>
    </xf>
    <xf numFmtId="168" fontId="0" fillId="0" borderId="0" xfId="62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center"/>
      <protection locked="0"/>
    </xf>
    <xf numFmtId="41" fontId="3" fillId="0" borderId="0" xfId="46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168" fontId="3" fillId="0" borderId="0" xfId="62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/>
      <protection locked="0"/>
    </xf>
    <xf numFmtId="14" fontId="13" fillId="0" borderId="0" xfId="0" applyNumberFormat="1" applyFont="1" applyAlignment="1" applyProtection="1">
      <alignment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1" fontId="13" fillId="0" borderId="0" xfId="62" applyNumberFormat="1" applyFont="1" applyAlignment="1" applyProtection="1">
      <alignment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4" fontId="7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1" fontId="44" fillId="0" borderId="0" xfId="0" applyNumberFormat="1" applyFont="1" applyBorder="1" applyAlignment="1" applyProtection="1">
      <alignment horizontal="center"/>
      <protection locked="0"/>
    </xf>
    <xf numFmtId="1" fontId="15" fillId="0" borderId="25" xfId="62" applyNumberFormat="1" applyFont="1" applyFill="1" applyBorder="1" applyAlignment="1" applyProtection="1">
      <alignment horizontal="center"/>
      <protection locked="0"/>
    </xf>
    <xf numFmtId="1" fontId="15" fillId="0" borderId="25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3" fontId="53" fillId="0" borderId="0" xfId="0" applyNumberFormat="1" applyFont="1" applyBorder="1" applyAlignment="1" applyProtection="1">
      <alignment horizontal="right" wrapText="1"/>
      <protection locked="0"/>
    </xf>
    <xf numFmtId="0" fontId="50" fillId="0" borderId="0" xfId="0" applyFont="1" applyAlignment="1" applyProtection="1">
      <alignment/>
      <protection locked="0"/>
    </xf>
    <xf numFmtId="3" fontId="50" fillId="0" borderId="0" xfId="0" applyNumberFormat="1" applyFont="1" applyFill="1" applyBorder="1" applyAlignment="1" applyProtection="1">
      <alignment horizontal="left"/>
      <protection locked="0"/>
    </xf>
    <xf numFmtId="3" fontId="53" fillId="0" borderId="0" xfId="0" applyNumberFormat="1" applyFont="1" applyBorder="1" applyAlignment="1" applyProtection="1">
      <alignment horizontal="left" wrapText="1"/>
      <protection locked="0"/>
    </xf>
    <xf numFmtId="3" fontId="55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46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" fontId="13" fillId="0" borderId="11" xfId="0" applyNumberFormat="1" applyFont="1" applyBorder="1" applyAlignment="1" applyProtection="1">
      <alignment horizontal="center"/>
      <protection/>
    </xf>
    <xf numFmtId="1" fontId="3" fillId="34" borderId="11" xfId="62" applyNumberFormat="1" applyFont="1" applyFill="1" applyBorder="1" applyAlignment="1" applyProtection="1">
      <alignment horizontal="center"/>
      <protection/>
    </xf>
    <xf numFmtId="1" fontId="3" fillId="34" borderId="11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/>
      <protection/>
    </xf>
    <xf numFmtId="1" fontId="13" fillId="0" borderId="0" xfId="0" applyNumberFormat="1" applyFont="1" applyAlignment="1" applyProtection="1">
      <alignment horizontal="center"/>
      <protection/>
    </xf>
    <xf numFmtId="1" fontId="3" fillId="0" borderId="0" xfId="62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41" fontId="14" fillId="0" borderId="0" xfId="46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center"/>
      <protection/>
    </xf>
    <xf numFmtId="168" fontId="14" fillId="0" borderId="0" xfId="62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64" fillId="0" borderId="11" xfId="0" applyFont="1" applyBorder="1" applyAlignment="1" applyProtection="1">
      <alignment/>
      <protection/>
    </xf>
    <xf numFmtId="14" fontId="3" fillId="1" borderId="11" xfId="0" applyNumberFormat="1" applyFon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" fontId="0" fillId="0" borderId="27" xfId="0" applyNumberFormat="1" applyFont="1" applyBorder="1" applyAlignment="1" applyProtection="1">
      <alignment horizontal="center"/>
      <protection/>
    </xf>
    <xf numFmtId="1" fontId="0" fillId="0" borderId="28" xfId="0" applyNumberFormat="1" applyFont="1" applyBorder="1" applyAlignment="1" applyProtection="1">
      <alignment horizontal="center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" fontId="0" fillId="0" borderId="29" xfId="0" applyNumberFormat="1" applyFont="1" applyBorder="1" applyAlignment="1" applyProtection="1">
      <alignment horizontal="center"/>
      <protection/>
    </xf>
    <xf numFmtId="3" fontId="16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 horizontal="right"/>
      <protection/>
    </xf>
    <xf numFmtId="14" fontId="13" fillId="0" borderId="11" xfId="0" applyNumberFormat="1" applyFont="1" applyBorder="1" applyAlignment="1" applyProtection="1">
      <alignment horizontal="center"/>
      <protection/>
    </xf>
    <xf numFmtId="3" fontId="32" fillId="0" borderId="0" xfId="0" applyNumberFormat="1" applyFont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1" fontId="0" fillId="0" borderId="3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right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11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3" fontId="64" fillId="0" borderId="2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1" fontId="18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/>
      <protection/>
    </xf>
    <xf numFmtId="3" fontId="58" fillId="0" borderId="0" xfId="0" applyNumberFormat="1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" fontId="15" fillId="0" borderId="0" xfId="0" applyNumberFormat="1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189" fontId="12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11" xfId="0" applyFont="1" applyBorder="1" applyAlignment="1" applyProtection="1">
      <alignment horizontal="center"/>
      <protection/>
    </xf>
    <xf numFmtId="3" fontId="14" fillId="0" borderId="0" xfId="0" applyNumberFormat="1" applyFont="1" applyAlignment="1" applyProtection="1">
      <alignment/>
      <protection/>
    </xf>
    <xf numFmtId="14" fontId="13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15" fillId="35" borderId="11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3" fontId="30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3" fontId="63" fillId="0" borderId="0" xfId="0" applyNumberFormat="1" applyFont="1" applyBorder="1" applyAlignment="1" applyProtection="1">
      <alignment horizontal="right"/>
      <protection/>
    </xf>
    <xf numFmtId="192" fontId="30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3" fontId="14" fillId="0" borderId="13" xfId="0" applyNumberFormat="1" applyFont="1" applyFill="1" applyBorder="1" applyAlignment="1" applyProtection="1">
      <alignment horizontal="right"/>
      <protection/>
    </xf>
    <xf numFmtId="3" fontId="49" fillId="0" borderId="13" xfId="0" applyNumberFormat="1" applyFont="1" applyFill="1" applyBorder="1" applyAlignment="1" applyProtection="1">
      <alignment/>
      <protection/>
    </xf>
    <xf numFmtId="1" fontId="3" fillId="36" borderId="11" xfId="62" applyNumberFormat="1" applyFont="1" applyFill="1" applyBorder="1" applyAlignment="1" applyProtection="1">
      <alignment horizontal="center"/>
      <protection/>
    </xf>
    <xf numFmtId="1" fontId="3" fillId="36" borderId="11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 wrapText="1"/>
      <protection/>
    </xf>
    <xf numFmtId="1" fontId="14" fillId="0" borderId="0" xfId="0" applyNumberFormat="1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14" fontId="44" fillId="0" borderId="13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3" fontId="38" fillId="0" borderId="0" xfId="0" applyNumberFormat="1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3" fontId="22" fillId="0" borderId="0" xfId="0" applyNumberFormat="1" applyFont="1" applyFill="1" applyBorder="1" applyAlignment="1" applyProtection="1">
      <alignment horizontal="center" wrapText="1"/>
      <protection/>
    </xf>
    <xf numFmtId="3" fontId="1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41" fontId="3" fillId="0" borderId="0" xfId="46" applyFont="1" applyAlignment="1" applyProtection="1">
      <alignment horizontal="center"/>
      <protection/>
    </xf>
    <xf numFmtId="1" fontId="3" fillId="37" borderId="11" xfId="62" applyNumberFormat="1" applyFont="1" applyFill="1" applyBorder="1" applyAlignment="1" applyProtection="1">
      <alignment horizontal="center"/>
      <protection/>
    </xf>
    <xf numFmtId="1" fontId="3" fillId="37" borderId="11" xfId="0" applyNumberFormat="1" applyFont="1" applyFill="1" applyBorder="1" applyAlignment="1" applyProtection="1">
      <alignment horizontal="center"/>
      <protection/>
    </xf>
    <xf numFmtId="14" fontId="36" fillId="0" borderId="0" xfId="0" applyNumberFormat="1" applyFont="1" applyFill="1" applyBorder="1" applyAlignment="1" applyProtection="1">
      <alignment horizontal="center"/>
      <protection/>
    </xf>
    <xf numFmtId="14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81" fillId="0" borderId="0" xfId="0" applyFont="1" applyFill="1" applyBorder="1" applyAlignment="1" applyProtection="1">
      <alignment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3" fontId="55" fillId="0" borderId="0" xfId="0" applyNumberFormat="1" applyFont="1" applyFill="1" applyBorder="1" applyAlignment="1" applyProtection="1">
      <alignment horizontal="center" wrapText="1"/>
      <protection locked="0"/>
    </xf>
    <xf numFmtId="0" fontId="67" fillId="0" borderId="0" xfId="0" applyFont="1" applyFill="1" applyBorder="1" applyAlignment="1" applyProtection="1">
      <alignment wrapText="1"/>
      <protection locked="0"/>
    </xf>
    <xf numFmtId="14" fontId="68" fillId="0" borderId="0" xfId="0" applyNumberFormat="1" applyFont="1" applyAlignment="1" applyProtection="1">
      <alignment horizontal="center"/>
      <protection/>
    </xf>
    <xf numFmtId="1" fontId="46" fillId="0" borderId="32" xfId="0" applyNumberFormat="1" applyFont="1" applyBorder="1" applyAlignment="1" applyProtection="1">
      <alignment horizontal="center"/>
      <protection/>
    </xf>
    <xf numFmtId="1" fontId="12" fillId="1" borderId="3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3" fillId="0" borderId="0" xfId="0" applyFont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center"/>
      <protection/>
    </xf>
    <xf numFmtId="14" fontId="69" fillId="0" borderId="0" xfId="0" applyNumberFormat="1" applyFont="1" applyAlignment="1" applyProtection="1">
      <alignment horizontal="center"/>
      <protection/>
    </xf>
    <xf numFmtId="14" fontId="13" fillId="0" borderId="0" xfId="0" applyNumberFormat="1" applyFont="1" applyAlignment="1" applyProtection="1">
      <alignment horizontal="center"/>
      <protection/>
    </xf>
    <xf numFmtId="14" fontId="69" fillId="0" borderId="0" xfId="0" applyNumberFormat="1" applyFont="1" applyBorder="1" applyAlignment="1" applyProtection="1">
      <alignment horizontal="center"/>
      <protection/>
    </xf>
    <xf numFmtId="3" fontId="14" fillId="0" borderId="26" xfId="0" applyNumberFormat="1" applyFont="1" applyBorder="1" applyAlignment="1" applyProtection="1">
      <alignment/>
      <protection/>
    </xf>
    <xf numFmtId="3" fontId="14" fillId="0" borderId="27" xfId="0" applyNumberFormat="1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189" fontId="3" fillId="0" borderId="0" xfId="0" applyNumberFormat="1" applyFont="1" applyBorder="1" applyAlignment="1" applyProtection="1">
      <alignment shrinkToFit="1"/>
      <protection/>
    </xf>
    <xf numFmtId="3" fontId="14" fillId="0" borderId="33" xfId="0" applyNumberFormat="1" applyFont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1" fontId="13" fillId="0" borderId="28" xfId="0" applyNumberFormat="1" applyFont="1" applyBorder="1" applyAlignment="1" applyProtection="1">
      <alignment horizontal="center"/>
      <protection/>
    </xf>
    <xf numFmtId="1" fontId="13" fillId="0" borderId="24" xfId="0" applyNumberFormat="1" applyFont="1" applyBorder="1" applyAlignment="1" applyProtection="1">
      <alignment horizontal="center"/>
      <protection/>
    </xf>
    <xf numFmtId="1" fontId="13" fillId="0" borderId="29" xfId="0" applyNumberFormat="1" applyFont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 horizontal="left"/>
      <protection/>
    </xf>
    <xf numFmtId="0" fontId="86" fillId="0" borderId="0" xfId="0" applyFont="1" applyAlignment="1" applyProtection="1">
      <alignment horizontal="center"/>
      <protection/>
    </xf>
    <xf numFmtId="0" fontId="86" fillId="0" borderId="0" xfId="0" applyFont="1" applyBorder="1" applyAlignment="1" applyProtection="1">
      <alignment horizontal="center"/>
      <protection/>
    </xf>
    <xf numFmtId="3" fontId="86" fillId="0" borderId="0" xfId="0" applyNumberFormat="1" applyFont="1" applyAlignment="1" applyProtection="1">
      <alignment horizontal="center"/>
      <protection/>
    </xf>
    <xf numFmtId="1" fontId="86" fillId="0" borderId="0" xfId="0" applyNumberFormat="1" applyFont="1" applyAlignment="1" applyProtection="1">
      <alignment horizontal="center"/>
      <protection/>
    </xf>
    <xf numFmtId="1" fontId="86" fillId="0" borderId="0" xfId="62" applyNumberFormat="1" applyFont="1" applyFill="1" applyBorder="1" applyAlignment="1" applyProtection="1">
      <alignment horizontal="center"/>
      <protection/>
    </xf>
    <xf numFmtId="1" fontId="86" fillId="0" borderId="0" xfId="0" applyNumberFormat="1" applyFont="1" applyFill="1" applyBorder="1" applyAlignment="1" applyProtection="1">
      <alignment horizontal="center"/>
      <protection/>
    </xf>
    <xf numFmtId="0" fontId="86" fillId="0" borderId="0" xfId="0" applyFont="1" applyFill="1" applyAlignment="1" applyProtection="1">
      <alignment horizontal="center"/>
      <protection/>
    </xf>
    <xf numFmtId="0" fontId="86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 quotePrefix="1">
      <alignment horizontal="right"/>
      <protection/>
    </xf>
    <xf numFmtId="0" fontId="0" fillId="0" borderId="0" xfId="0" applyFont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 horizontal="left"/>
      <protection/>
    </xf>
    <xf numFmtId="3" fontId="85" fillId="0" borderId="0" xfId="0" applyNumberFormat="1" applyFont="1" applyFill="1" applyBorder="1" applyAlignment="1" applyProtection="1">
      <alignment horizontal="right"/>
      <protection/>
    </xf>
    <xf numFmtId="3" fontId="85" fillId="0" borderId="21" xfId="0" applyNumberFormat="1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center" shrinkToFit="1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14" fontId="13" fillId="0" borderId="11" xfId="0" applyNumberFormat="1" applyFont="1" applyFill="1" applyBorder="1" applyAlignment="1" applyProtection="1">
      <alignment horizontal="center"/>
      <protection/>
    </xf>
    <xf numFmtId="14" fontId="56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 horizontal="center" wrapText="1"/>
      <protection/>
    </xf>
    <xf numFmtId="14" fontId="13" fillId="34" borderId="11" xfId="0" applyNumberFormat="1" applyFont="1" applyFill="1" applyBorder="1" applyAlignment="1" applyProtection="1">
      <alignment horizontal="center"/>
      <protection/>
    </xf>
    <xf numFmtId="49" fontId="32" fillId="0" borderId="0" xfId="0" applyNumberFormat="1" applyFont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3" fontId="32" fillId="0" borderId="0" xfId="0" applyNumberFormat="1" applyFont="1" applyAlignment="1" applyProtection="1" quotePrefix="1">
      <alignment/>
      <protection/>
    </xf>
    <xf numFmtId="3" fontId="86" fillId="0" borderId="0" xfId="0" applyNumberFormat="1" applyFont="1" applyFill="1" applyBorder="1" applyAlignment="1" applyProtection="1">
      <alignment horizontal="right"/>
      <protection/>
    </xf>
    <xf numFmtId="3" fontId="56" fillId="0" borderId="0" xfId="0" applyNumberFormat="1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left" vertical="top"/>
      <protection/>
    </xf>
    <xf numFmtId="0" fontId="1" fillId="0" borderId="23" xfId="0" applyFont="1" applyBorder="1" applyAlignment="1" applyProtection="1">
      <alignment horizontal="left" vertical="top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3" fontId="26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193" fontId="26" fillId="0" borderId="0" xfId="0" applyNumberFormat="1" applyFont="1" applyFill="1" applyBorder="1" applyAlignment="1" applyProtection="1">
      <alignment horizontal="center" wrapText="1"/>
      <protection/>
    </xf>
    <xf numFmtId="3" fontId="24" fillId="0" borderId="0" xfId="0" applyNumberFormat="1" applyFont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Border="1" applyAlignment="1" applyProtection="1">
      <alignment horizontal="center" wrapText="1"/>
      <protection/>
    </xf>
    <xf numFmtId="14" fontId="21" fillId="0" borderId="0" xfId="0" applyNumberFormat="1" applyFont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center" vertical="top" wrapText="1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0" fillId="0" borderId="34" xfId="0" applyFont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center"/>
      <protection/>
    </xf>
    <xf numFmtId="3" fontId="10" fillId="0" borderId="35" xfId="0" applyNumberFormat="1" applyFont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left"/>
      <protection/>
    </xf>
    <xf numFmtId="0" fontId="7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14" fontId="65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37" fillId="0" borderId="31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31" xfId="0" applyFont="1" applyBorder="1" applyAlignment="1" applyProtection="1">
      <alignment horizontal="center" vertical="top" wrapText="1"/>
      <protection/>
    </xf>
    <xf numFmtId="0" fontId="37" fillId="0" borderId="34" xfId="0" applyFont="1" applyBorder="1" applyAlignment="1" applyProtection="1">
      <alignment wrapText="1"/>
      <protection/>
    </xf>
    <xf numFmtId="3" fontId="10" fillId="0" borderId="11" xfId="0" applyNumberFormat="1" applyFont="1" applyBorder="1" applyAlignment="1" applyProtection="1">
      <alignment horizontal="center" wrapText="1"/>
      <protection/>
    </xf>
    <xf numFmtId="3" fontId="10" fillId="0" borderId="34" xfId="0" applyNumberFormat="1" applyFont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wrapText="1"/>
      <protection/>
    </xf>
    <xf numFmtId="3" fontId="10" fillId="0" borderId="23" xfId="0" applyNumberFormat="1" applyFont="1" applyBorder="1" applyAlignment="1" applyProtection="1">
      <alignment horizontal="center" wrapText="1"/>
      <protection/>
    </xf>
    <xf numFmtId="3" fontId="10" fillId="0" borderId="31" xfId="0" applyNumberFormat="1" applyFont="1" applyBorder="1" applyAlignment="1" applyProtection="1">
      <alignment horizontal="center" wrapText="1"/>
      <protection/>
    </xf>
    <xf numFmtId="0" fontId="37" fillId="0" borderId="0" xfId="0" applyFont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0" fillId="0" borderId="36" xfId="0" applyNumberFormat="1" applyFont="1" applyFill="1" applyBorder="1" applyAlignment="1" applyProtection="1">
      <alignment horizontal="center" wrapText="1"/>
      <protection/>
    </xf>
    <xf numFmtId="0" fontId="75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3" fontId="76" fillId="0" borderId="0" xfId="0" applyNumberFormat="1" applyFont="1" applyFill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 wrapText="1"/>
      <protection/>
    </xf>
    <xf numFmtId="3" fontId="76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Font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37" fillId="0" borderId="16" xfId="0" applyFont="1" applyBorder="1" applyAlignment="1" applyProtection="1">
      <alignment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wrapText="1"/>
      <protection/>
    </xf>
    <xf numFmtId="3" fontId="10" fillId="0" borderId="38" xfId="0" applyNumberFormat="1" applyFont="1" applyBorder="1" applyAlignment="1" applyProtection="1">
      <alignment horizontal="center" wrapText="1"/>
      <protection/>
    </xf>
    <xf numFmtId="3" fontId="10" fillId="0" borderId="0" xfId="0" applyNumberFormat="1" applyFont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2" fillId="0" borderId="31" xfId="0" applyFont="1" applyBorder="1" applyAlignment="1" applyProtection="1">
      <alignment horizontal="center" vertical="top"/>
      <protection/>
    </xf>
    <xf numFmtId="0" fontId="72" fillId="0" borderId="0" xfId="0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 horizontal="left" wrapText="1"/>
      <protection/>
    </xf>
    <xf numFmtId="0" fontId="72" fillId="0" borderId="0" xfId="0" applyFont="1" applyFill="1" applyBorder="1" applyAlignment="1" applyProtection="1">
      <alignment horizontal="left" wrapText="1"/>
      <protection/>
    </xf>
    <xf numFmtId="3" fontId="73" fillId="0" borderId="0" xfId="0" applyNumberFormat="1" applyFont="1" applyFill="1" applyBorder="1" applyAlignment="1" applyProtection="1">
      <alignment horizontal="center" wrapText="1"/>
      <protection/>
    </xf>
    <xf numFmtId="1" fontId="74" fillId="0" borderId="0" xfId="0" applyNumberFormat="1" applyFont="1" applyFill="1" applyBorder="1" applyAlignment="1" applyProtection="1">
      <alignment horizontal="center" wrapText="1"/>
      <protection/>
    </xf>
    <xf numFmtId="3" fontId="74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14" fontId="28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Alignment="1" applyProtection="1">
      <alignment horizontal="center"/>
      <protection/>
    </xf>
    <xf numFmtId="14" fontId="28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 horizontal="center" vertical="top" wrapText="1"/>
      <protection/>
    </xf>
    <xf numFmtId="0" fontId="72" fillId="0" borderId="0" xfId="0" applyFont="1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 horizontal="left"/>
      <protection/>
    </xf>
    <xf numFmtId="14" fontId="72" fillId="0" borderId="0" xfId="0" applyNumberFormat="1" applyFont="1" applyFill="1" applyBorder="1" applyAlignment="1" applyProtection="1">
      <alignment/>
      <protection/>
    </xf>
    <xf numFmtId="14" fontId="15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3" fontId="74" fillId="0" borderId="0" xfId="0" applyNumberFormat="1" applyFont="1" applyFill="1" applyBorder="1" applyAlignment="1" applyProtection="1">
      <alignment horizontal="center"/>
      <protection/>
    </xf>
    <xf numFmtId="0" fontId="67" fillId="0" borderId="31" xfId="0" applyFont="1" applyBorder="1" applyAlignment="1" applyProtection="1">
      <alignment horizontal="center" vertical="top" wrapText="1"/>
      <protection/>
    </xf>
    <xf numFmtId="3" fontId="13" fillId="0" borderId="0" xfId="0" applyNumberFormat="1" applyFont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78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horizontal="center" vertical="top"/>
      <protection/>
    </xf>
    <xf numFmtId="0" fontId="10" fillId="0" borderId="35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79" fillId="0" borderId="0" xfId="0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80" fillId="0" borderId="0" xfId="0" applyFont="1" applyFill="1" applyBorder="1" applyAlignment="1" applyProtection="1">
      <alignment horizontal="left"/>
      <protection/>
    </xf>
    <xf numFmtId="3" fontId="10" fillId="0" borderId="39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/>
      <protection/>
    </xf>
    <xf numFmtId="3" fontId="51" fillId="0" borderId="0" xfId="0" applyNumberFormat="1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left" wrapText="1"/>
      <protection/>
    </xf>
    <xf numFmtId="3" fontId="2" fillId="0" borderId="11" xfId="0" applyNumberFormat="1" applyFont="1" applyFill="1" applyBorder="1" applyAlignment="1" applyProtection="1">
      <alignment horizontal="center" wrapText="1"/>
      <protection/>
    </xf>
    <xf numFmtId="3" fontId="2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Alignment="1" applyProtection="1">
      <alignment horizontal="center" wrapText="1"/>
      <protection/>
    </xf>
    <xf numFmtId="3" fontId="20" fillId="0" borderId="0" xfId="0" applyNumberFormat="1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3" fontId="9" fillId="0" borderId="0" xfId="0" applyNumberFormat="1" applyFont="1" applyAlignment="1" applyProtection="1">
      <alignment horizontal="center" vertical="top" wrapText="1"/>
      <protection/>
    </xf>
    <xf numFmtId="3" fontId="20" fillId="0" borderId="0" xfId="0" applyNumberFormat="1" applyFont="1" applyAlignment="1" applyProtection="1">
      <alignment horizontal="center" wrapText="1"/>
      <protection/>
    </xf>
    <xf numFmtId="0" fontId="19" fillId="0" borderId="0" xfId="0" applyFont="1" applyAlignment="1" applyProtection="1">
      <alignment horizontal="center" wrapText="1"/>
      <protection/>
    </xf>
    <xf numFmtId="3" fontId="19" fillId="0" borderId="0" xfId="0" applyNumberFormat="1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3" fontId="9" fillId="0" borderId="0" xfId="0" applyNumberFormat="1" applyFont="1" applyAlignment="1" applyProtection="1">
      <alignment horizontal="center" wrapText="1"/>
      <protection/>
    </xf>
    <xf numFmtId="4" fontId="10" fillId="0" borderId="35" xfId="0" applyNumberFormat="1" applyFont="1" applyBorder="1" applyAlignment="1" applyProtection="1">
      <alignment horizontal="center" wrapText="1"/>
      <protection/>
    </xf>
    <xf numFmtId="4" fontId="10" fillId="0" borderId="39" xfId="0" applyNumberFormat="1" applyFont="1" applyBorder="1" applyAlignment="1" applyProtection="1">
      <alignment horizontal="center" wrapText="1"/>
      <protection/>
    </xf>
    <xf numFmtId="3" fontId="84" fillId="0" borderId="0" xfId="0" applyNumberFormat="1" applyFont="1" applyFill="1" applyBorder="1" applyAlignment="1" applyProtection="1">
      <alignment horizontal="center"/>
      <protection/>
    </xf>
    <xf numFmtId="4" fontId="10" fillId="0" borderId="34" xfId="0" applyNumberFormat="1" applyFont="1" applyBorder="1" applyAlignment="1" applyProtection="1">
      <alignment horizontal="center" wrapText="1"/>
      <protection/>
    </xf>
    <xf numFmtId="4" fontId="10" fillId="0" borderId="0" xfId="0" applyNumberFormat="1" applyFont="1" applyBorder="1" applyAlignment="1" applyProtection="1">
      <alignment horizontal="center" wrapText="1"/>
      <protection/>
    </xf>
    <xf numFmtId="3" fontId="15" fillId="0" borderId="0" xfId="0" applyNumberFormat="1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" fontId="1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189" fontId="3" fillId="0" borderId="32" xfId="0" applyNumberFormat="1" applyFont="1" applyBorder="1" applyAlignment="1" applyProtection="1">
      <alignment shrinkToFit="1"/>
      <protection/>
    </xf>
    <xf numFmtId="3" fontId="14" fillId="0" borderId="32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4" fontId="3" fillId="0" borderId="0" xfId="0" applyNumberFormat="1" applyFont="1" applyAlignment="1" applyProtection="1">
      <alignment horizontal="center"/>
      <protection locked="0"/>
    </xf>
    <xf numFmtId="14" fontId="13" fillId="0" borderId="0" xfId="0" applyNumberFormat="1" applyFont="1" applyFill="1" applyBorder="1" applyAlignment="1" applyProtection="1">
      <alignment/>
      <protection/>
    </xf>
    <xf numFmtId="199" fontId="3" fillId="0" borderId="10" xfId="0" applyNumberFormat="1" applyFont="1" applyFill="1" applyBorder="1" applyAlignment="1" applyProtection="1">
      <alignment horizontal="center"/>
      <protection/>
    </xf>
    <xf numFmtId="1" fontId="44" fillId="0" borderId="40" xfId="0" applyNumberFormat="1" applyFont="1" applyBorder="1" applyAlignment="1" applyProtection="1">
      <alignment horizontal="center"/>
      <protection/>
    </xf>
    <xf numFmtId="1" fontId="44" fillId="0" borderId="41" xfId="0" applyNumberFormat="1" applyFont="1" applyFill="1" applyBorder="1" applyAlignment="1" applyProtection="1">
      <alignment horizontal="center"/>
      <protection/>
    </xf>
    <xf numFmtId="1" fontId="0" fillId="0" borderId="33" xfId="0" applyNumberFormat="1" applyFont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/>
      <protection/>
    </xf>
    <xf numFmtId="0" fontId="3" fillId="0" borderId="42" xfId="0" applyFont="1" applyBorder="1" applyAlignment="1">
      <alignment horizontal="right"/>
    </xf>
    <xf numFmtId="0" fontId="0" fillId="0" borderId="11" xfId="0" applyBorder="1" applyAlignment="1">
      <alignment horizontal="left" indent="1"/>
    </xf>
    <xf numFmtId="0" fontId="15" fillId="0" borderId="11" xfId="0" applyFont="1" applyBorder="1" applyAlignment="1" applyProtection="1">
      <alignment horizontal="center"/>
      <protection/>
    </xf>
    <xf numFmtId="43" fontId="7" fillId="0" borderId="11" xfId="0" applyNumberFormat="1" applyFont="1" applyFill="1" applyBorder="1" applyAlignment="1">
      <alignment/>
    </xf>
    <xf numFmtId="0" fontId="52" fillId="0" borderId="0" xfId="0" applyFont="1" applyFill="1" applyBorder="1" applyAlignment="1" applyProtection="1">
      <alignment horizontal="left"/>
      <protection/>
    </xf>
    <xf numFmtId="0" fontId="88" fillId="0" borderId="0" xfId="0" applyFont="1" applyFill="1" applyBorder="1" applyAlignment="1" applyProtection="1">
      <alignment/>
      <protection/>
    </xf>
    <xf numFmtId="49" fontId="88" fillId="0" borderId="0" xfId="0" applyNumberFormat="1" applyFont="1" applyFill="1" applyBorder="1" applyAlignment="1" applyProtection="1">
      <alignment horizontal="center"/>
      <protection/>
    </xf>
    <xf numFmtId="0" fontId="89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 indent="1"/>
    </xf>
    <xf numFmtId="0" fontId="15" fillId="0" borderId="0" xfId="0" applyFont="1" applyBorder="1" applyAlignment="1" applyProtection="1">
      <alignment horizontal="center"/>
      <protection/>
    </xf>
    <xf numFmtId="43" fontId="7" fillId="0" borderId="0" xfId="0" applyNumberFormat="1" applyFont="1" applyFill="1" applyBorder="1" applyAlignment="1">
      <alignment/>
    </xf>
    <xf numFmtId="4" fontId="63" fillId="0" borderId="0" xfId="0" applyNumberFormat="1" applyFont="1" applyBorder="1" applyAlignment="1" applyProtection="1">
      <alignment horizontal="right"/>
      <protection/>
    </xf>
    <xf numFmtId="214" fontId="63" fillId="0" borderId="0" xfId="0" applyNumberFormat="1" applyFont="1" applyBorder="1" applyAlignment="1" applyProtection="1">
      <alignment horizontal="right"/>
      <protection/>
    </xf>
    <xf numFmtId="3" fontId="34" fillId="0" borderId="43" xfId="0" applyNumberFormat="1" applyFont="1" applyFill="1" applyBorder="1" applyAlignment="1" applyProtection="1">
      <alignment/>
      <protection/>
    </xf>
    <xf numFmtId="1" fontId="3" fillId="36" borderId="43" xfId="0" applyNumberFormat="1" applyFont="1" applyFill="1" applyBorder="1" applyAlignment="1" applyProtection="1">
      <alignment horizontal="center"/>
      <protection/>
    </xf>
    <xf numFmtId="1" fontId="3" fillId="37" borderId="43" xfId="0" applyNumberFormat="1" applyFont="1" applyFill="1" applyBorder="1" applyAlignment="1" applyProtection="1">
      <alignment horizontal="center"/>
      <protection/>
    </xf>
    <xf numFmtId="3" fontId="63" fillId="0" borderId="44" xfId="0" applyNumberFormat="1" applyFont="1" applyBorder="1" applyAlignment="1" applyProtection="1">
      <alignment horizontal="right"/>
      <protection/>
    </xf>
    <xf numFmtId="0" fontId="0" fillId="0" borderId="44" xfId="0" applyFont="1" applyFill="1" applyBorder="1" applyAlignment="1" applyProtection="1">
      <alignment/>
      <protection/>
    </xf>
    <xf numFmtId="3" fontId="34" fillId="0" borderId="44" xfId="0" applyNumberFormat="1" applyFont="1" applyFill="1" applyBorder="1" applyAlignment="1" applyProtection="1">
      <alignment/>
      <protection/>
    </xf>
    <xf numFmtId="3" fontId="22" fillId="0" borderId="44" xfId="0" applyNumberFormat="1" applyFont="1" applyFill="1" applyBorder="1" applyAlignment="1" applyProtection="1">
      <alignment horizontal="center" wrapText="1"/>
      <protection/>
    </xf>
    <xf numFmtId="1" fontId="0" fillId="0" borderId="44" xfId="0" applyNumberFormat="1" applyFont="1" applyFill="1" applyBorder="1" applyAlignment="1" applyProtection="1">
      <alignment horizontal="center"/>
      <protection/>
    </xf>
    <xf numFmtId="4" fontId="63" fillId="0" borderId="44" xfId="0" applyNumberFormat="1" applyFont="1" applyBorder="1" applyAlignment="1" applyProtection="1">
      <alignment horizontal="right"/>
      <protection/>
    </xf>
    <xf numFmtId="0" fontId="15" fillId="0" borderId="44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center" wrapText="1"/>
      <protection/>
    </xf>
    <xf numFmtId="0" fontId="91" fillId="0" borderId="0" xfId="0" applyFont="1" applyFill="1" applyBorder="1" applyAlignment="1" applyProtection="1">
      <alignment horizontal="left"/>
      <protection/>
    </xf>
    <xf numFmtId="43" fontId="7" fillId="0" borderId="11" xfId="0" applyNumberFormat="1" applyFont="1" applyFill="1" applyBorder="1" applyAlignment="1">
      <alignment horizontal="center"/>
    </xf>
    <xf numFmtId="0" fontId="0" fillId="34" borderId="0" xfId="0" applyFill="1" applyBorder="1" applyAlignment="1">
      <alignment textRotation="255"/>
    </xf>
    <xf numFmtId="0" fontId="92" fillId="0" borderId="0" xfId="0" applyFont="1" applyFill="1" applyBorder="1" applyAlignment="1" applyProtection="1">
      <alignment/>
      <protection/>
    </xf>
    <xf numFmtId="4" fontId="47" fillId="0" borderId="0" xfId="0" applyNumberFormat="1" applyFont="1" applyBorder="1" applyAlignment="1" applyProtection="1">
      <alignment horizontal="right"/>
      <protection/>
    </xf>
    <xf numFmtId="0" fontId="94" fillId="0" borderId="0" xfId="0" applyFont="1" applyFill="1" applyBorder="1" applyAlignment="1" applyProtection="1">
      <alignment horizontal="left"/>
      <protection/>
    </xf>
    <xf numFmtId="0" fontId="13" fillId="0" borderId="44" xfId="0" applyFont="1" applyFill="1" applyBorder="1" applyAlignment="1" applyProtection="1">
      <alignment horizontal="left"/>
      <protection/>
    </xf>
    <xf numFmtId="1" fontId="14" fillId="0" borderId="0" xfId="0" applyNumberFormat="1" applyFont="1" applyFill="1" applyBorder="1" applyAlignment="1" applyProtection="1">
      <alignment horizontal="left"/>
      <protection/>
    </xf>
    <xf numFmtId="0" fontId="13" fillId="0" borderId="44" xfId="0" applyFont="1" applyFill="1" applyBorder="1" applyAlignment="1" applyProtection="1">
      <alignment/>
      <protection/>
    </xf>
    <xf numFmtId="3" fontId="10" fillId="0" borderId="44" xfId="0" applyNumberFormat="1" applyFont="1" applyFill="1" applyBorder="1" applyAlignment="1" applyProtection="1">
      <alignment horizontal="center" wrapText="1"/>
      <protection/>
    </xf>
    <xf numFmtId="3" fontId="3" fillId="0" borderId="44" xfId="0" applyNumberFormat="1" applyFont="1" applyFill="1" applyBorder="1" applyAlignment="1" applyProtection="1">
      <alignment/>
      <protection/>
    </xf>
    <xf numFmtId="3" fontId="62" fillId="0" borderId="44" xfId="0" applyNumberFormat="1" applyFont="1" applyFill="1" applyBorder="1" applyAlignment="1" applyProtection="1">
      <alignment horizontal="center" wrapText="1"/>
      <protection/>
    </xf>
    <xf numFmtId="3" fontId="14" fillId="0" borderId="44" xfId="0" applyNumberFormat="1" applyFont="1" applyFill="1" applyBorder="1" applyAlignment="1" applyProtection="1">
      <alignment horizontal="left"/>
      <protection/>
    </xf>
    <xf numFmtId="0" fontId="95" fillId="0" borderId="14" xfId="0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left"/>
      <protection/>
    </xf>
    <xf numFmtId="214" fontId="3" fillId="0" borderId="0" xfId="0" applyNumberFormat="1" applyFont="1" applyFill="1" applyBorder="1" applyAlignment="1" applyProtection="1">
      <alignment horizontal="right"/>
      <protection/>
    </xf>
    <xf numFmtId="214" fontId="63" fillId="0" borderId="44" xfId="0" applyNumberFormat="1" applyFont="1" applyBorder="1" applyAlignment="1" applyProtection="1">
      <alignment horizontal="right"/>
      <protection/>
    </xf>
    <xf numFmtId="214" fontId="63" fillId="0" borderId="45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Font="1" applyBorder="1" applyAlignment="1" applyProtection="1">
      <alignment/>
      <protection hidden="1"/>
    </xf>
    <xf numFmtId="208" fontId="0" fillId="0" borderId="0" xfId="0" applyNumberFormat="1" applyFont="1" applyAlignment="1">
      <alignment/>
    </xf>
    <xf numFmtId="214" fontId="0" fillId="0" borderId="0" xfId="0" applyNumberFormat="1" applyFont="1" applyBorder="1" applyAlignment="1">
      <alignment horizontal="right"/>
    </xf>
    <xf numFmtId="214" fontId="0" fillId="0" borderId="21" xfId="0" applyNumberFormat="1" applyFont="1" applyBorder="1" applyAlignment="1">
      <alignment horizontal="right"/>
    </xf>
    <xf numFmtId="214" fontId="3" fillId="0" borderId="0" xfId="0" applyNumberFormat="1" applyFont="1" applyBorder="1" applyAlignment="1">
      <alignment horizontal="right"/>
    </xf>
    <xf numFmtId="214" fontId="63" fillId="0" borderId="21" xfId="0" applyNumberFormat="1" applyFont="1" applyBorder="1" applyAlignment="1" applyProtection="1">
      <alignment horizontal="right"/>
      <protection/>
    </xf>
    <xf numFmtId="0" fontId="90" fillId="0" borderId="0" xfId="0" applyFont="1" applyFill="1" applyBorder="1" applyAlignment="1" applyProtection="1">
      <alignment horizontal="left"/>
      <protection/>
    </xf>
    <xf numFmtId="214" fontId="14" fillId="0" borderId="32" xfId="0" applyNumberFormat="1" applyFont="1" applyBorder="1" applyAlignment="1" applyProtection="1">
      <alignment/>
      <protection/>
    </xf>
    <xf numFmtId="3" fontId="14" fillId="0" borderId="21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3" fontId="96" fillId="0" borderId="0" xfId="0" applyNumberFormat="1" applyFont="1" applyBorder="1" applyAlignment="1" applyProtection="1">
      <alignment/>
      <protection/>
    </xf>
    <xf numFmtId="3" fontId="54" fillId="0" borderId="0" xfId="0" applyNumberFormat="1" applyFont="1" applyAlignment="1" applyProtection="1">
      <alignment/>
      <protection/>
    </xf>
    <xf numFmtId="3" fontId="32" fillId="0" borderId="21" xfId="0" applyNumberFormat="1" applyFont="1" applyBorder="1" applyAlignment="1" applyProtection="1">
      <alignment/>
      <protection/>
    </xf>
    <xf numFmtId="3" fontId="32" fillId="0" borderId="0" xfId="0" applyNumberFormat="1" applyFont="1" applyAlignment="1" applyProtection="1">
      <alignment horizontal="right"/>
      <protection/>
    </xf>
    <xf numFmtId="0" fontId="54" fillId="0" borderId="0" xfId="0" applyFont="1" applyFill="1" applyBorder="1" applyAlignment="1" applyProtection="1">
      <alignment/>
      <protection/>
    </xf>
    <xf numFmtId="1" fontId="36" fillId="0" borderId="0" xfId="0" applyNumberFormat="1" applyFont="1" applyBorder="1" applyAlignment="1" applyProtection="1">
      <alignment horizontal="center"/>
      <protection/>
    </xf>
    <xf numFmtId="1" fontId="36" fillId="0" borderId="0" xfId="0" applyNumberFormat="1" applyFont="1" applyFill="1" applyBorder="1" applyAlignment="1" applyProtection="1">
      <alignment horizontal="center"/>
      <protection/>
    </xf>
    <xf numFmtId="1" fontId="50" fillId="0" borderId="0" xfId="62" applyNumberFormat="1" applyFont="1" applyFill="1" applyBorder="1" applyAlignment="1" applyProtection="1">
      <alignment horizontal="center"/>
      <protection/>
    </xf>
    <xf numFmtId="1" fontId="50" fillId="0" borderId="0" xfId="0" applyNumberFormat="1" applyFont="1" applyFill="1" applyBorder="1" applyAlignment="1" applyProtection="1">
      <alignment horizontal="center"/>
      <protection/>
    </xf>
    <xf numFmtId="14" fontId="56" fillId="0" borderId="0" xfId="0" applyNumberFormat="1" applyFont="1" applyFill="1" applyAlignment="1" applyProtection="1" quotePrefix="1">
      <alignment/>
      <protection/>
    </xf>
    <xf numFmtId="0" fontId="46" fillId="0" borderId="0" xfId="0" applyFont="1" applyFill="1" applyBorder="1" applyAlignment="1" applyProtection="1">
      <alignment/>
      <protection locked="0"/>
    </xf>
    <xf numFmtId="1" fontId="8" fillId="0" borderId="0" xfId="0" applyNumberFormat="1" applyFont="1" applyAlignment="1">
      <alignment horizontal="center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4" fontId="10" fillId="38" borderId="35" xfId="0" applyNumberFormat="1" applyFont="1" applyFill="1" applyBorder="1" applyAlignment="1" applyProtection="1">
      <alignment horizontal="center" wrapText="1"/>
      <protection/>
    </xf>
    <xf numFmtId="1" fontId="5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indent="1"/>
      <protection/>
    </xf>
    <xf numFmtId="0" fontId="14" fillId="0" borderId="11" xfId="0" applyFont="1" applyBorder="1" applyAlignment="1">
      <alignment horizontal="right"/>
    </xf>
    <xf numFmtId="0" fontId="14" fillId="0" borderId="11" xfId="0" applyFont="1" applyFill="1" applyBorder="1" applyAlignment="1" applyProtection="1">
      <alignment horizontal="center"/>
      <protection/>
    </xf>
    <xf numFmtId="0" fontId="13" fillId="0" borderId="11" xfId="0" applyFont="1" applyBorder="1" applyAlignment="1">
      <alignment horizontal="left" indent="1"/>
    </xf>
    <xf numFmtId="43" fontId="13" fillId="0" borderId="11" xfId="0" applyNumberFormat="1" applyFont="1" applyFill="1" applyBorder="1" applyAlignment="1">
      <alignment/>
    </xf>
    <xf numFmtId="43" fontId="0" fillId="0" borderId="0" xfId="0" applyNumberFormat="1" applyFill="1" applyBorder="1" applyAlignment="1" applyProtection="1">
      <alignment/>
      <protection/>
    </xf>
    <xf numFmtId="43" fontId="0" fillId="0" borderId="11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13" fillId="0" borderId="11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4" fontId="63" fillId="0" borderId="21" xfId="0" applyNumberFormat="1" applyFont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/>
    </xf>
    <xf numFmtId="41" fontId="3" fillId="0" borderId="0" xfId="46" applyFont="1" applyFill="1" applyBorder="1" applyAlignment="1" applyProtection="1">
      <alignment horizontal="center"/>
      <protection locked="0"/>
    </xf>
    <xf numFmtId="1" fontId="3" fillId="33" borderId="32" xfId="62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214" fontId="30" fillId="0" borderId="0" xfId="0" applyNumberFormat="1" applyFont="1" applyFill="1" applyBorder="1" applyAlignment="1" applyProtection="1">
      <alignment horizontal="right"/>
      <protection/>
    </xf>
    <xf numFmtId="3" fontId="14" fillId="0" borderId="44" xfId="0" applyNumberFormat="1" applyFont="1" applyFill="1" applyBorder="1" applyAlignment="1" applyProtection="1">
      <alignment horizontal="right"/>
      <protection/>
    </xf>
    <xf numFmtId="214" fontId="30" fillId="0" borderId="45" xfId="0" applyNumberFormat="1" applyFont="1" applyFill="1" applyBorder="1" applyAlignment="1" applyProtection="1">
      <alignment horizontal="right"/>
      <protection/>
    </xf>
    <xf numFmtId="214" fontId="30" fillId="0" borderId="21" xfId="0" applyNumberFormat="1" applyFont="1" applyFill="1" applyBorder="1" applyAlignment="1" applyProtection="1">
      <alignment horizontal="right"/>
      <protection/>
    </xf>
    <xf numFmtId="3" fontId="3" fillId="0" borderId="26" xfId="0" applyNumberFormat="1" applyFont="1" applyFill="1" applyBorder="1" applyAlignment="1" applyProtection="1">
      <alignment horizontal="left"/>
      <protection/>
    </xf>
    <xf numFmtId="3" fontId="14" fillId="0" borderId="10" xfId="0" applyNumberFormat="1" applyFont="1" applyFill="1" applyBorder="1" applyAlignment="1" applyProtection="1">
      <alignment horizontal="left"/>
      <protection/>
    </xf>
    <xf numFmtId="14" fontId="68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1" fontId="13" fillId="0" borderId="10" xfId="0" applyNumberFormat="1" applyFont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/>
      <protection/>
    </xf>
    <xf numFmtId="3" fontId="30" fillId="0" borderId="30" xfId="0" applyNumberFormat="1" applyFont="1" applyFill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3" fontId="63" fillId="0" borderId="24" xfId="0" applyNumberFormat="1" applyFont="1" applyBorder="1" applyAlignment="1" applyProtection="1">
      <alignment horizontal="right"/>
      <protection/>
    </xf>
    <xf numFmtId="192" fontId="30" fillId="0" borderId="24" xfId="0" applyNumberFormat="1" applyFont="1" applyFill="1" applyBorder="1" applyAlignment="1" applyProtection="1">
      <alignment horizontal="right"/>
      <protection/>
    </xf>
    <xf numFmtId="4" fontId="3" fillId="0" borderId="24" xfId="0" applyNumberFormat="1" applyFont="1" applyFill="1" applyBorder="1" applyAlignment="1" applyProtection="1">
      <alignment horizontal="right"/>
      <protection/>
    </xf>
    <xf numFmtId="4" fontId="14" fillId="0" borderId="24" xfId="0" applyNumberFormat="1" applyFont="1" applyFill="1" applyBorder="1" applyAlignment="1" applyProtection="1">
      <alignment horizontal="right"/>
      <protection/>
    </xf>
    <xf numFmtId="1" fontId="3" fillId="33" borderId="46" xfId="62" applyNumberFormat="1" applyFont="1" applyFill="1" applyBorder="1" applyAlignment="1" applyProtection="1">
      <alignment horizontal="center"/>
      <protection locked="0"/>
    </xf>
    <xf numFmtId="1" fontId="3" fillId="33" borderId="47" xfId="62" applyNumberFormat="1" applyFont="1" applyFill="1" applyBorder="1" applyAlignment="1" applyProtection="1">
      <alignment horizontal="center"/>
      <protection locked="0"/>
    </xf>
    <xf numFmtId="1" fontId="3" fillId="33" borderId="48" xfId="0" applyNumberFormat="1" applyFont="1" applyFill="1" applyBorder="1" applyAlignment="1" applyProtection="1">
      <alignment horizontal="center"/>
      <protection locked="0"/>
    </xf>
    <xf numFmtId="15" fontId="15" fillId="35" borderId="13" xfId="0" applyNumberFormat="1" applyFont="1" applyFill="1" applyBorder="1" applyAlignment="1" applyProtection="1">
      <alignment horizontal="center"/>
      <protection/>
    </xf>
    <xf numFmtId="0" fontId="3" fillId="39" borderId="0" xfId="0" applyFont="1" applyFill="1" applyBorder="1" applyAlignment="1" applyProtection="1">
      <alignment horizontal="center"/>
      <protection locked="0"/>
    </xf>
    <xf numFmtId="14" fontId="3" fillId="39" borderId="0" xfId="0" applyNumberFormat="1" applyFont="1" applyFill="1" applyBorder="1" applyAlignment="1" applyProtection="1">
      <alignment horizontal="center"/>
      <protection locked="0"/>
    </xf>
    <xf numFmtId="0" fontId="3" fillId="33" borderId="40" xfId="0" applyFont="1" applyFill="1" applyBorder="1" applyAlignment="1" applyProtection="1">
      <alignment horizontal="center" shrinkToFit="1"/>
      <protection locked="0"/>
    </xf>
    <xf numFmtId="49" fontId="3" fillId="39" borderId="0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14" fontId="32" fillId="0" borderId="0" xfId="0" applyNumberFormat="1" applyFont="1" applyAlignment="1" applyProtection="1">
      <alignment/>
      <protection/>
    </xf>
    <xf numFmtId="3" fontId="140" fillId="0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3" fontId="97" fillId="0" borderId="0" xfId="0" applyNumberFormat="1" applyFont="1" applyBorder="1" applyAlignment="1" applyProtection="1">
      <alignment horizontal="center" wrapText="1"/>
      <protection locked="0"/>
    </xf>
    <xf numFmtId="0" fontId="54" fillId="0" borderId="0" xfId="0" applyFont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14" fontId="13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4" fontId="14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3" fontId="13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center" wrapText="1"/>
      <protection/>
    </xf>
    <xf numFmtId="3" fontId="98" fillId="0" borderId="0" xfId="0" applyNumberFormat="1" applyFont="1" applyFill="1" applyBorder="1" applyAlignment="1" applyProtection="1">
      <alignment horizontal="center" wrapText="1"/>
      <protection/>
    </xf>
    <xf numFmtId="0" fontId="57" fillId="0" borderId="0" xfId="0" applyFont="1" applyFill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horizontal="left"/>
      <protection/>
    </xf>
    <xf numFmtId="14" fontId="3" fillId="34" borderId="11" xfId="0" applyNumberFormat="1" applyFont="1" applyFill="1" applyBorder="1" applyAlignment="1" applyProtection="1">
      <alignment horizontal="center"/>
      <protection/>
    </xf>
    <xf numFmtId="1" fontId="13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Alignment="1" applyProtection="1">
      <alignment horizontal="center" vertical="center"/>
      <protection/>
    </xf>
    <xf numFmtId="0" fontId="28" fillId="0" borderId="11" xfId="0" applyFont="1" applyBorder="1" applyAlignment="1">
      <alignment horizontal="right"/>
    </xf>
    <xf numFmtId="43" fontId="6" fillId="0" borderId="0" xfId="0" applyNumberFormat="1" applyFont="1" applyFill="1" applyBorder="1" applyAlignment="1" applyProtection="1">
      <alignment horizontal="left" vertical="top"/>
      <protection/>
    </xf>
    <xf numFmtId="1" fontId="141" fillId="0" borderId="0" xfId="0" applyNumberFormat="1" applyFont="1" applyAlignment="1" applyProtection="1">
      <alignment horizontal="center"/>
      <protection/>
    </xf>
    <xf numFmtId="0" fontId="99" fillId="0" borderId="0" xfId="0" applyFont="1" applyAlignment="1">
      <alignment wrapText="1"/>
    </xf>
    <xf numFmtId="0" fontId="142" fillId="0" borderId="0" xfId="0" applyFont="1" applyFill="1" applyBorder="1" applyAlignment="1" applyProtection="1">
      <alignment/>
      <protection locked="0"/>
    </xf>
    <xf numFmtId="0" fontId="143" fillId="0" borderId="0" xfId="0" applyFont="1" applyFill="1" applyBorder="1" applyAlignment="1" applyProtection="1">
      <alignment vertical="center"/>
      <protection locked="0"/>
    </xf>
    <xf numFmtId="0" fontId="0" fillId="37" borderId="49" xfId="0" applyFill="1" applyBorder="1" applyAlignment="1" applyProtection="1">
      <alignment textRotation="255"/>
      <protection/>
    </xf>
    <xf numFmtId="0" fontId="0" fillId="37" borderId="49" xfId="0" applyFill="1" applyBorder="1" applyAlignment="1">
      <alignment textRotation="255"/>
    </xf>
    <xf numFmtId="0" fontId="0" fillId="34" borderId="49" xfId="0" applyFill="1" applyBorder="1" applyAlignment="1" applyProtection="1">
      <alignment textRotation="255"/>
      <protection/>
    </xf>
    <xf numFmtId="0" fontId="0" fillId="34" borderId="49" xfId="0" applyFill="1" applyBorder="1" applyAlignment="1">
      <alignment textRotation="255"/>
    </xf>
    <xf numFmtId="0" fontId="0" fillId="40" borderId="11" xfId="0" applyFill="1" applyBorder="1" applyAlignment="1" applyProtection="1">
      <alignment textRotation="255"/>
      <protection/>
    </xf>
    <xf numFmtId="0" fontId="0" fillId="40" borderId="11" xfId="0" applyFill="1" applyBorder="1" applyAlignment="1">
      <alignment textRotation="255"/>
    </xf>
    <xf numFmtId="0" fontId="0" fillId="37" borderId="11" xfId="0" applyFill="1" applyBorder="1" applyAlignment="1" applyProtection="1">
      <alignment textRotation="255"/>
      <protection/>
    </xf>
    <xf numFmtId="0" fontId="0" fillId="37" borderId="11" xfId="0" applyFill="1" applyBorder="1" applyAlignment="1">
      <alignment textRotation="255"/>
    </xf>
    <xf numFmtId="0" fontId="0" fillId="34" borderId="11" xfId="0" applyFill="1" applyBorder="1" applyAlignment="1" applyProtection="1">
      <alignment textRotation="255"/>
      <protection/>
    </xf>
    <xf numFmtId="0" fontId="0" fillId="34" borderId="11" xfId="0" applyFill="1" applyBorder="1" applyAlignment="1">
      <alignment textRotation="255"/>
    </xf>
    <xf numFmtId="0" fontId="0" fillId="40" borderId="49" xfId="0" applyFill="1" applyBorder="1" applyAlignment="1" applyProtection="1">
      <alignment textRotation="255"/>
      <protection/>
    </xf>
    <xf numFmtId="0" fontId="0" fillId="40" borderId="49" xfId="0" applyFill="1" applyBorder="1" applyAlignment="1">
      <alignment textRotation="255"/>
    </xf>
    <xf numFmtId="14" fontId="63" fillId="0" borderId="0" xfId="0" applyNumberFormat="1" applyFont="1" applyAlignment="1" applyProtection="1">
      <alignment vertical="center"/>
      <protection/>
    </xf>
    <xf numFmtId="3" fontId="82" fillId="0" borderId="50" xfId="0" applyNumberFormat="1" applyFont="1" applyBorder="1" applyAlignment="1" applyProtection="1">
      <alignment horizontal="center" shrinkToFit="1"/>
      <protection/>
    </xf>
    <xf numFmtId="3" fontId="83" fillId="0" borderId="51" xfId="0" applyNumberFormat="1" applyFont="1" applyBorder="1" applyAlignment="1" applyProtection="1">
      <alignment horizontal="center"/>
      <protection/>
    </xf>
    <xf numFmtId="214" fontId="82" fillId="0" borderId="50" xfId="0" applyNumberFormat="1" applyFont="1" applyBorder="1" applyAlignment="1" applyProtection="1">
      <alignment horizontal="center" shrinkToFit="1"/>
      <protection/>
    </xf>
    <xf numFmtId="214" fontId="83" fillId="0" borderId="5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6">
    <dxf>
      <font>
        <color indexed="9"/>
      </font>
    </dxf>
    <dxf>
      <font>
        <color theme="0"/>
      </font>
    </dxf>
    <dxf>
      <font>
        <color rgb="FFFF0000"/>
      </font>
    </dxf>
    <dxf>
      <font>
        <color indexed="9"/>
      </font>
    </dxf>
    <dxf>
      <font>
        <color indexed="9"/>
      </font>
    </dxf>
    <dxf>
      <font>
        <color auto="1"/>
      </font>
      <fill>
        <patternFill patternType="gray0625">
          <bgColor indexed="4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fgColor indexed="64"/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85725</xdr:rowOff>
    </xdr:from>
    <xdr:to>
      <xdr:col>4</xdr:col>
      <xdr:colOff>647700</xdr:colOff>
      <xdr:row>11</xdr:row>
      <xdr:rowOff>85725</xdr:rowOff>
    </xdr:to>
    <xdr:sp>
      <xdr:nvSpPr>
        <xdr:cNvPr id="1" name="Line 43"/>
        <xdr:cNvSpPr>
          <a:spLocks/>
        </xdr:cNvSpPr>
      </xdr:nvSpPr>
      <xdr:spPr>
        <a:xfrm>
          <a:off x="3114675" y="1466850"/>
          <a:ext cx="581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104775</xdr:rowOff>
    </xdr:from>
    <xdr:to>
      <xdr:col>4</xdr:col>
      <xdr:colOff>628650</xdr:colOff>
      <xdr:row>12</xdr:row>
      <xdr:rowOff>104775</xdr:rowOff>
    </xdr:to>
    <xdr:sp>
      <xdr:nvSpPr>
        <xdr:cNvPr id="2" name="Line 43"/>
        <xdr:cNvSpPr>
          <a:spLocks/>
        </xdr:cNvSpPr>
      </xdr:nvSpPr>
      <xdr:spPr>
        <a:xfrm>
          <a:off x="3095625" y="1666875"/>
          <a:ext cx="581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PageLayoutView="0" workbookViewId="0" topLeftCell="A10">
      <selection activeCell="A17" sqref="A17"/>
    </sheetView>
  </sheetViews>
  <sheetFormatPr defaultColWidth="9.140625" defaultRowHeight="12.75"/>
  <cols>
    <col min="1" max="1" width="107.8515625" style="0" customWidth="1"/>
  </cols>
  <sheetData>
    <row r="1" s="63" customFormat="1" ht="27" customHeight="1">
      <c r="A1" s="71" t="s">
        <v>0</v>
      </c>
    </row>
    <row r="2" s="63" customFormat="1" ht="27" customHeight="1">
      <c r="A2" s="71" t="s">
        <v>377</v>
      </c>
    </row>
    <row r="3" s="63" customFormat="1" ht="27" customHeight="1">
      <c r="A3" s="568" t="s">
        <v>365</v>
      </c>
    </row>
    <row r="4" s="568" customFormat="1" ht="15.75" customHeight="1">
      <c r="A4" s="568" t="s">
        <v>371</v>
      </c>
    </row>
    <row r="5" s="568" customFormat="1" ht="48.75" customHeight="1">
      <c r="A5" s="568" t="s">
        <v>366</v>
      </c>
    </row>
    <row r="6" s="568" customFormat="1" ht="33" customHeight="1">
      <c r="A6" s="568" t="s">
        <v>367</v>
      </c>
    </row>
    <row r="7" s="568" customFormat="1" ht="43.5" customHeight="1">
      <c r="A7" s="568" t="s">
        <v>373</v>
      </c>
    </row>
    <row r="8" s="568" customFormat="1" ht="15" customHeight="1">
      <c r="A8" s="568" t="s">
        <v>374</v>
      </c>
    </row>
    <row r="9" s="568" customFormat="1" ht="48.75" customHeight="1">
      <c r="A9" s="568" t="s">
        <v>372</v>
      </c>
    </row>
    <row r="10" s="568" customFormat="1" ht="36" customHeight="1">
      <c r="A10" s="568" t="s">
        <v>368</v>
      </c>
    </row>
    <row r="11" s="568" customFormat="1" ht="19.5" customHeight="1">
      <c r="A11" s="568" t="s">
        <v>369</v>
      </c>
    </row>
    <row r="12" s="568" customFormat="1" ht="31.5" customHeight="1">
      <c r="A12" s="568" t="s">
        <v>370</v>
      </c>
    </row>
    <row r="13" s="568" customFormat="1" ht="14.25">
      <c r="A13" s="568" t="s">
        <v>378</v>
      </c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19"/>
  <sheetViews>
    <sheetView zoomScalePageLayoutView="0" workbookViewId="0" topLeftCell="A440">
      <selection activeCell="F475" sqref="F475"/>
    </sheetView>
  </sheetViews>
  <sheetFormatPr defaultColWidth="9.140625" defaultRowHeight="12.75"/>
  <cols>
    <col min="1" max="1" width="10.7109375" style="3" customWidth="1"/>
    <col min="2" max="2" width="9.421875" style="3" customWidth="1"/>
    <col min="3" max="3" width="10.421875" style="3" customWidth="1"/>
    <col min="4" max="4" width="12.140625" style="3" customWidth="1"/>
    <col min="5" max="5" width="12.57421875" style="3" customWidth="1"/>
    <col min="6" max="9" width="10.7109375" style="3" customWidth="1"/>
    <col min="10" max="10" width="3.7109375" style="3" customWidth="1"/>
    <col min="11" max="11" width="11.7109375" style="3" customWidth="1"/>
    <col min="12" max="12" width="8.00390625" style="3" customWidth="1"/>
    <col min="13" max="13" width="10.140625" style="3" customWidth="1"/>
    <col min="14" max="14" width="11.00390625" style="3" customWidth="1"/>
    <col min="15" max="15" width="10.28125" style="3" customWidth="1"/>
    <col min="16" max="16" width="10.421875" style="3" customWidth="1"/>
    <col min="17" max="17" width="10.57421875" style="3" customWidth="1"/>
    <col min="18" max="18" width="10.140625" style="3" customWidth="1"/>
    <col min="19" max="19" width="10.28125" style="3" customWidth="1"/>
    <col min="20" max="20" width="9.140625" style="285" customWidth="1"/>
    <col min="21" max="21" width="7.8515625" style="3" customWidth="1"/>
    <col min="22" max="22" width="10.140625" style="3" customWidth="1"/>
    <col min="23" max="23" width="11.28125" style="3" bestFit="1" customWidth="1"/>
    <col min="24" max="24" width="10.140625" style="3" customWidth="1"/>
    <col min="25" max="26" width="10.28125" style="3" customWidth="1"/>
    <col min="27" max="27" width="10.57421875" style="3" customWidth="1"/>
    <col min="28" max="28" width="10.421875" style="3" customWidth="1"/>
    <col min="29" max="29" width="11.00390625" style="3" customWidth="1"/>
    <col min="30" max="31" width="9.140625" style="285" customWidth="1"/>
    <col min="32" max="16384" width="9.140625" style="3" customWidth="1"/>
  </cols>
  <sheetData>
    <row r="1" spans="1:19" s="283" customFormat="1" ht="14.25" customHeight="1">
      <c r="A1" s="280" t="s">
        <v>174</v>
      </c>
      <c r="B1" s="281" t="s">
        <v>102</v>
      </c>
      <c r="C1" s="281" t="s">
        <v>171</v>
      </c>
      <c r="D1" s="280" t="s">
        <v>92</v>
      </c>
      <c r="E1" s="281" t="s">
        <v>132</v>
      </c>
      <c r="F1" s="281" t="s">
        <v>133</v>
      </c>
      <c r="G1" s="281" t="s">
        <v>105</v>
      </c>
      <c r="H1" s="281" t="s">
        <v>91</v>
      </c>
      <c r="I1" s="281" t="s">
        <v>182</v>
      </c>
      <c r="J1" s="282"/>
      <c r="K1" s="280" t="s">
        <v>174</v>
      </c>
      <c r="L1" s="281" t="s">
        <v>171</v>
      </c>
      <c r="M1" s="281" t="s">
        <v>102</v>
      </c>
      <c r="N1" s="281" t="s">
        <v>91</v>
      </c>
      <c r="O1" s="281" t="s">
        <v>182</v>
      </c>
      <c r="P1" s="281" t="s">
        <v>132</v>
      </c>
      <c r="Q1" s="281" t="s">
        <v>105</v>
      </c>
      <c r="R1" s="281" t="s">
        <v>133</v>
      </c>
      <c r="S1" s="280" t="s">
        <v>185</v>
      </c>
    </row>
    <row r="2" spans="1:31" ht="12" customHeight="1">
      <c r="A2" s="145"/>
      <c r="D2" s="39" t="s">
        <v>184</v>
      </c>
      <c r="K2" s="284" t="s">
        <v>183</v>
      </c>
      <c r="L2" s="9">
        <v>2</v>
      </c>
      <c r="M2" s="9">
        <v>3</v>
      </c>
      <c r="N2" s="9">
        <v>4</v>
      </c>
      <c r="O2" s="9">
        <v>5</v>
      </c>
      <c r="P2" s="9">
        <v>6</v>
      </c>
      <c r="Q2" s="9">
        <v>7</v>
      </c>
      <c r="R2" s="9">
        <v>8</v>
      </c>
      <c r="S2" s="9">
        <v>9</v>
      </c>
      <c r="T2" s="3"/>
      <c r="AD2" s="3"/>
      <c r="AE2" s="3"/>
    </row>
    <row r="3" spans="2:31" ht="15.75" customHeight="1">
      <c r="B3" s="145" t="s">
        <v>96</v>
      </c>
      <c r="C3" s="145" t="s">
        <v>125</v>
      </c>
      <c r="D3" s="145" t="s">
        <v>131</v>
      </c>
      <c r="E3" s="145" t="s">
        <v>128</v>
      </c>
      <c r="F3" s="145" t="s">
        <v>130</v>
      </c>
      <c r="G3" s="145" t="s">
        <v>127</v>
      </c>
      <c r="H3" s="145" t="s">
        <v>126</v>
      </c>
      <c r="I3" s="145" t="s">
        <v>129</v>
      </c>
      <c r="L3" s="145" t="s">
        <v>125</v>
      </c>
      <c r="M3" s="145" t="s">
        <v>96</v>
      </c>
      <c r="N3" s="145" t="s">
        <v>126</v>
      </c>
      <c r="O3" s="145" t="s">
        <v>129</v>
      </c>
      <c r="P3" s="145" t="s">
        <v>128</v>
      </c>
      <c r="Q3" s="145" t="s">
        <v>127</v>
      </c>
      <c r="R3" s="145" t="s">
        <v>130</v>
      </c>
      <c r="S3" s="145" t="s">
        <v>131</v>
      </c>
      <c r="T3" s="3"/>
      <c r="AD3" s="3"/>
      <c r="AE3" s="3"/>
    </row>
    <row r="4" spans="1:31" ht="12" customHeight="1">
      <c r="A4" s="7">
        <v>0</v>
      </c>
      <c r="B4" s="7">
        <v>8544000</v>
      </c>
      <c r="C4" s="7">
        <v>6564000</v>
      </c>
      <c r="D4" s="7">
        <v>18000000</v>
      </c>
      <c r="E4" s="7">
        <v>11136000</v>
      </c>
      <c r="F4" s="7">
        <v>12924000</v>
      </c>
      <c r="G4" s="7">
        <v>12924000</v>
      </c>
      <c r="H4" s="7">
        <v>11136000</v>
      </c>
      <c r="I4" s="7">
        <v>11136000</v>
      </c>
      <c r="K4" s="7">
        <v>0</v>
      </c>
      <c r="L4" s="7">
        <v>6564000</v>
      </c>
      <c r="M4" s="7">
        <v>8544000</v>
      </c>
      <c r="N4" s="7">
        <v>11136000</v>
      </c>
      <c r="O4" s="7">
        <v>11136000</v>
      </c>
      <c r="P4" s="7">
        <v>11136000</v>
      </c>
      <c r="Q4" s="7">
        <v>12924000</v>
      </c>
      <c r="R4" s="7">
        <v>12924000</v>
      </c>
      <c r="S4" s="7">
        <v>18000000</v>
      </c>
      <c r="T4" s="3"/>
      <c r="AD4" s="3"/>
      <c r="AE4" s="3"/>
    </row>
    <row r="5" spans="1:31" ht="12" customHeight="1">
      <c r="A5" s="7">
        <v>1</v>
      </c>
      <c r="B5" s="7">
        <v>8544000</v>
      </c>
      <c r="C5" s="7">
        <v>6564000</v>
      </c>
      <c r="D5" s="7">
        <v>18000000</v>
      </c>
      <c r="E5" s="7">
        <v>11136000</v>
      </c>
      <c r="F5" s="7">
        <v>13608000</v>
      </c>
      <c r="G5" s="7">
        <v>12924000</v>
      </c>
      <c r="H5" s="7">
        <v>11136000</v>
      </c>
      <c r="I5" s="7">
        <v>11136000</v>
      </c>
      <c r="K5" s="7">
        <v>1</v>
      </c>
      <c r="L5" s="7">
        <v>6564000</v>
      </c>
      <c r="M5" s="7">
        <v>8544000</v>
      </c>
      <c r="N5" s="7">
        <v>11136000</v>
      </c>
      <c r="O5" s="7">
        <v>11136000</v>
      </c>
      <c r="P5" s="7">
        <v>11136000</v>
      </c>
      <c r="Q5" s="7">
        <v>12924000</v>
      </c>
      <c r="R5" s="7">
        <v>13608000</v>
      </c>
      <c r="S5" s="7">
        <v>18000000</v>
      </c>
      <c r="T5" s="3"/>
      <c r="AD5" s="3"/>
      <c r="AE5" s="3"/>
    </row>
    <row r="6" spans="1:31" ht="12" customHeight="1">
      <c r="A6" s="7">
        <v>2</v>
      </c>
      <c r="B6" s="7">
        <v>8988000</v>
      </c>
      <c r="C6" s="7">
        <v>6888000</v>
      </c>
      <c r="D6" s="7">
        <v>18540000</v>
      </c>
      <c r="E6" s="7">
        <v>11136000</v>
      </c>
      <c r="F6" s="7">
        <v>13608000</v>
      </c>
      <c r="G6" s="7">
        <v>12924000</v>
      </c>
      <c r="H6" s="7">
        <v>11136000</v>
      </c>
      <c r="I6" s="7">
        <v>11136000</v>
      </c>
      <c r="K6" s="7">
        <v>2</v>
      </c>
      <c r="L6" s="7">
        <v>6888000</v>
      </c>
      <c r="M6" s="7">
        <v>8988000</v>
      </c>
      <c r="N6" s="7">
        <v>11136000</v>
      </c>
      <c r="O6" s="7">
        <v>11136000</v>
      </c>
      <c r="P6" s="7">
        <v>11136000</v>
      </c>
      <c r="Q6" s="7">
        <v>12924000</v>
      </c>
      <c r="R6" s="7">
        <v>13608000</v>
      </c>
      <c r="S6" s="7">
        <v>18540000</v>
      </c>
      <c r="T6" s="3"/>
      <c r="AD6" s="3"/>
      <c r="AE6" s="3"/>
    </row>
    <row r="7" spans="1:31" ht="12" customHeight="1">
      <c r="A7" s="7">
        <v>3</v>
      </c>
      <c r="B7" s="7">
        <v>8988000</v>
      </c>
      <c r="C7" s="7">
        <v>6888000</v>
      </c>
      <c r="D7" s="7">
        <v>19080000</v>
      </c>
      <c r="E7" s="7">
        <v>11736000</v>
      </c>
      <c r="F7" s="7">
        <v>14304000</v>
      </c>
      <c r="G7" s="7">
        <v>13608000</v>
      </c>
      <c r="H7" s="7">
        <v>11736000</v>
      </c>
      <c r="I7" s="7">
        <v>11736000</v>
      </c>
      <c r="K7" s="7">
        <v>3</v>
      </c>
      <c r="L7" s="7">
        <v>6888000</v>
      </c>
      <c r="M7" s="7">
        <v>8988000</v>
      </c>
      <c r="N7" s="7">
        <v>11736000</v>
      </c>
      <c r="O7" s="7">
        <v>11736000</v>
      </c>
      <c r="P7" s="7">
        <v>11736000</v>
      </c>
      <c r="Q7" s="7">
        <v>13608000</v>
      </c>
      <c r="R7" s="7">
        <v>14304000</v>
      </c>
      <c r="S7" s="7">
        <v>19080000</v>
      </c>
      <c r="T7" s="3"/>
      <c r="AD7" s="3"/>
      <c r="AE7" s="3"/>
    </row>
    <row r="8" spans="1:31" ht="12" customHeight="1">
      <c r="A8" s="7">
        <v>4</v>
      </c>
      <c r="B8" s="7">
        <v>9432000</v>
      </c>
      <c r="C8" s="7">
        <v>7224000</v>
      </c>
      <c r="D8" s="7">
        <v>19620000</v>
      </c>
      <c r="E8" s="7">
        <v>11736000</v>
      </c>
      <c r="F8" s="7">
        <v>14304000</v>
      </c>
      <c r="G8" s="7">
        <v>13608000</v>
      </c>
      <c r="H8" s="7">
        <v>11736000</v>
      </c>
      <c r="I8" s="7">
        <v>11736000</v>
      </c>
      <c r="K8" s="7">
        <v>4</v>
      </c>
      <c r="L8" s="7">
        <v>7224000</v>
      </c>
      <c r="M8" s="7">
        <v>9432000</v>
      </c>
      <c r="N8" s="7">
        <v>11736000</v>
      </c>
      <c r="O8" s="7">
        <v>11736000</v>
      </c>
      <c r="P8" s="7">
        <v>11736000</v>
      </c>
      <c r="Q8" s="7">
        <v>13608000</v>
      </c>
      <c r="R8" s="7">
        <v>14304000</v>
      </c>
      <c r="S8" s="7">
        <v>19620000</v>
      </c>
      <c r="T8" s="3"/>
      <c r="AD8" s="3"/>
      <c r="AE8" s="3"/>
    </row>
    <row r="9" spans="1:31" ht="12" customHeight="1">
      <c r="A9" s="7">
        <v>5</v>
      </c>
      <c r="B9" s="7">
        <v>9432000</v>
      </c>
      <c r="C9" s="7">
        <v>7224000</v>
      </c>
      <c r="D9" s="7">
        <v>20172000</v>
      </c>
      <c r="E9" s="7">
        <v>12336000</v>
      </c>
      <c r="F9" s="7">
        <v>14988000</v>
      </c>
      <c r="G9" s="7">
        <v>14304000</v>
      </c>
      <c r="H9" s="7">
        <v>12336000</v>
      </c>
      <c r="I9" s="7">
        <v>12336000</v>
      </c>
      <c r="K9" s="7">
        <v>5</v>
      </c>
      <c r="L9" s="7">
        <v>7224000</v>
      </c>
      <c r="M9" s="7">
        <v>9432000</v>
      </c>
      <c r="N9" s="7">
        <v>12336000</v>
      </c>
      <c r="O9" s="7">
        <v>12336000</v>
      </c>
      <c r="P9" s="7">
        <v>12336000</v>
      </c>
      <c r="Q9" s="7">
        <v>14304000</v>
      </c>
      <c r="R9" s="7">
        <v>14988000</v>
      </c>
      <c r="S9" s="7">
        <v>20172000</v>
      </c>
      <c r="T9" s="3"/>
      <c r="AD9" s="3"/>
      <c r="AE9" s="3"/>
    </row>
    <row r="10" spans="1:31" ht="12" customHeight="1">
      <c r="A10" s="7">
        <v>6</v>
      </c>
      <c r="B10" s="7">
        <v>10068000</v>
      </c>
      <c r="C10" s="7">
        <v>7752000</v>
      </c>
      <c r="D10" s="7">
        <v>20172000</v>
      </c>
      <c r="E10" s="7">
        <v>12336000</v>
      </c>
      <c r="F10" s="7">
        <v>14988000</v>
      </c>
      <c r="G10" s="7">
        <v>14304000</v>
      </c>
      <c r="H10" s="7">
        <v>12336000</v>
      </c>
      <c r="I10" s="7">
        <v>12336000</v>
      </c>
      <c r="K10" s="7">
        <v>6</v>
      </c>
      <c r="L10" s="7">
        <v>7752000</v>
      </c>
      <c r="M10" s="7">
        <v>10068000</v>
      </c>
      <c r="N10" s="7">
        <v>12336000</v>
      </c>
      <c r="O10" s="7">
        <v>12336000</v>
      </c>
      <c r="P10" s="7">
        <v>12336000</v>
      </c>
      <c r="Q10" s="7">
        <v>14304000</v>
      </c>
      <c r="R10" s="7">
        <v>14988000</v>
      </c>
      <c r="S10" s="7">
        <v>20172000</v>
      </c>
      <c r="T10" s="3"/>
      <c r="AD10" s="3"/>
      <c r="AE10" s="3"/>
    </row>
    <row r="11" spans="1:19" ht="12.75">
      <c r="A11" s="7">
        <v>7</v>
      </c>
      <c r="B11" s="7">
        <v>10068000</v>
      </c>
      <c r="C11" s="7">
        <v>7752000</v>
      </c>
      <c r="D11" s="7">
        <v>21252000</v>
      </c>
      <c r="E11" s="7">
        <v>12924000</v>
      </c>
      <c r="F11" s="7">
        <v>15792000</v>
      </c>
      <c r="G11" s="7">
        <v>14988000</v>
      </c>
      <c r="H11" s="7">
        <v>12924000</v>
      </c>
      <c r="I11" s="7">
        <v>12924000</v>
      </c>
      <c r="J11" s="285"/>
      <c r="K11" s="7">
        <v>7</v>
      </c>
      <c r="L11" s="7">
        <v>7752000</v>
      </c>
      <c r="M11" s="7">
        <v>10068000</v>
      </c>
      <c r="N11" s="7">
        <v>12924000</v>
      </c>
      <c r="O11" s="7">
        <v>12924000</v>
      </c>
      <c r="P11" s="7">
        <v>12924000</v>
      </c>
      <c r="Q11" s="7">
        <v>14988000</v>
      </c>
      <c r="R11" s="7">
        <v>15792000</v>
      </c>
      <c r="S11" s="7">
        <v>21252000</v>
      </c>
    </row>
    <row r="12" spans="1:19" ht="12.75">
      <c r="A12" s="7">
        <v>8</v>
      </c>
      <c r="B12" s="7">
        <v>10584000</v>
      </c>
      <c r="C12" s="7">
        <v>8136000</v>
      </c>
      <c r="D12" s="7">
        <v>21792000</v>
      </c>
      <c r="E12" s="7">
        <v>12924000</v>
      </c>
      <c r="F12" s="7">
        <v>15792000</v>
      </c>
      <c r="G12" s="7">
        <v>14988000</v>
      </c>
      <c r="H12" s="7">
        <v>12924000</v>
      </c>
      <c r="I12" s="7">
        <v>12924000</v>
      </c>
      <c r="J12" s="285"/>
      <c r="K12" s="7">
        <v>8</v>
      </c>
      <c r="L12" s="7">
        <v>8136000</v>
      </c>
      <c r="M12" s="7">
        <v>10584000</v>
      </c>
      <c r="N12" s="7">
        <v>12924000</v>
      </c>
      <c r="O12" s="7">
        <v>12924000</v>
      </c>
      <c r="P12" s="7">
        <v>12924000</v>
      </c>
      <c r="Q12" s="7">
        <v>14988000</v>
      </c>
      <c r="R12" s="7">
        <v>15792000</v>
      </c>
      <c r="S12" s="7">
        <v>21792000</v>
      </c>
    </row>
    <row r="13" spans="1:19" ht="12.75">
      <c r="A13" s="7">
        <v>9</v>
      </c>
      <c r="B13" s="7">
        <v>10584000</v>
      </c>
      <c r="C13" s="7">
        <v>8136000</v>
      </c>
      <c r="D13" s="7">
        <v>22332000</v>
      </c>
      <c r="E13" s="7">
        <v>13608000</v>
      </c>
      <c r="F13" s="7">
        <v>16512000</v>
      </c>
      <c r="G13" s="7">
        <v>15792000</v>
      </c>
      <c r="H13" s="7">
        <v>13608000</v>
      </c>
      <c r="I13" s="7">
        <v>13608000</v>
      </c>
      <c r="J13" s="285"/>
      <c r="K13" s="7">
        <v>9</v>
      </c>
      <c r="L13" s="7">
        <v>8136000</v>
      </c>
      <c r="M13" s="7">
        <v>10584000</v>
      </c>
      <c r="N13" s="7">
        <v>13608000</v>
      </c>
      <c r="O13" s="7">
        <v>13608000</v>
      </c>
      <c r="P13" s="7">
        <v>13608000</v>
      </c>
      <c r="Q13" s="7">
        <v>15792000</v>
      </c>
      <c r="R13" s="7">
        <v>16512000</v>
      </c>
      <c r="S13" s="7">
        <v>22332000</v>
      </c>
    </row>
    <row r="14" spans="1:19" ht="12.75">
      <c r="A14" s="7">
        <v>10</v>
      </c>
      <c r="B14" s="7">
        <v>11088000</v>
      </c>
      <c r="C14" s="7">
        <v>8520000</v>
      </c>
      <c r="D14" s="7">
        <v>22872000</v>
      </c>
      <c r="E14" s="7">
        <v>13608000</v>
      </c>
      <c r="F14" s="7">
        <v>16512000</v>
      </c>
      <c r="G14" s="7">
        <v>15792000</v>
      </c>
      <c r="H14" s="7">
        <v>13608000</v>
      </c>
      <c r="I14" s="7">
        <v>13608000</v>
      </c>
      <c r="J14" s="285"/>
      <c r="K14" s="7">
        <v>10</v>
      </c>
      <c r="L14" s="7">
        <v>8520000</v>
      </c>
      <c r="M14" s="7">
        <v>11088000</v>
      </c>
      <c r="N14" s="7">
        <v>13608000</v>
      </c>
      <c r="O14" s="7">
        <v>13608000</v>
      </c>
      <c r="P14" s="7">
        <v>13608000</v>
      </c>
      <c r="Q14" s="7">
        <v>15792000</v>
      </c>
      <c r="R14" s="7">
        <v>16512000</v>
      </c>
      <c r="S14" s="7">
        <v>22872000</v>
      </c>
    </row>
    <row r="15" spans="1:19" s="2" customFormat="1" ht="19.5" customHeight="1">
      <c r="A15" s="7">
        <v>11</v>
      </c>
      <c r="B15" s="7">
        <v>11088000</v>
      </c>
      <c r="C15" s="7">
        <v>8520000</v>
      </c>
      <c r="D15" s="7">
        <v>23412000</v>
      </c>
      <c r="E15" s="7">
        <v>14304000</v>
      </c>
      <c r="F15" s="7">
        <v>17388000</v>
      </c>
      <c r="G15" s="7">
        <v>16512000</v>
      </c>
      <c r="H15" s="7">
        <v>14304000</v>
      </c>
      <c r="I15" s="7">
        <v>14304000</v>
      </c>
      <c r="K15" s="7">
        <v>11</v>
      </c>
      <c r="L15" s="7">
        <v>8520000</v>
      </c>
      <c r="M15" s="7">
        <v>11088000</v>
      </c>
      <c r="N15" s="7">
        <v>14304000</v>
      </c>
      <c r="O15" s="7">
        <v>14304000</v>
      </c>
      <c r="P15" s="7">
        <v>14304000</v>
      </c>
      <c r="Q15" s="7">
        <v>16512000</v>
      </c>
      <c r="R15" s="7">
        <v>17388000</v>
      </c>
      <c r="S15" s="7">
        <v>23412000</v>
      </c>
    </row>
    <row r="16" spans="1:19" s="1" customFormat="1" ht="12.75" customHeight="1">
      <c r="A16" s="7">
        <v>12</v>
      </c>
      <c r="B16" s="7">
        <v>11592000</v>
      </c>
      <c r="C16" s="7">
        <v>8904000</v>
      </c>
      <c r="D16" s="7">
        <v>23952000</v>
      </c>
      <c r="E16" s="7">
        <v>14304000</v>
      </c>
      <c r="F16" s="7">
        <v>17388000</v>
      </c>
      <c r="G16" s="7">
        <v>16512000</v>
      </c>
      <c r="H16" s="7">
        <v>14304000</v>
      </c>
      <c r="I16" s="7">
        <v>14304000</v>
      </c>
      <c r="K16" s="7">
        <v>12</v>
      </c>
      <c r="L16" s="7">
        <v>8904000</v>
      </c>
      <c r="M16" s="7">
        <v>11592000</v>
      </c>
      <c r="N16" s="7">
        <v>14304000</v>
      </c>
      <c r="O16" s="7">
        <v>14304000</v>
      </c>
      <c r="P16" s="7">
        <v>14304000</v>
      </c>
      <c r="Q16" s="7">
        <v>16512000</v>
      </c>
      <c r="R16" s="7">
        <v>17388000</v>
      </c>
      <c r="S16" s="7">
        <v>23952000</v>
      </c>
    </row>
    <row r="17" spans="1:31" ht="12.75" customHeight="1">
      <c r="A17" s="7">
        <v>13</v>
      </c>
      <c r="B17" s="7">
        <v>11592000</v>
      </c>
      <c r="C17" s="7">
        <v>8904000</v>
      </c>
      <c r="D17" s="7">
        <v>24492000</v>
      </c>
      <c r="E17" s="7">
        <v>14988000</v>
      </c>
      <c r="F17" s="7">
        <v>18324000</v>
      </c>
      <c r="G17" s="7">
        <v>17388000</v>
      </c>
      <c r="H17" s="7">
        <v>14988000</v>
      </c>
      <c r="I17" s="7">
        <v>14988000</v>
      </c>
      <c r="K17" s="7">
        <v>13</v>
      </c>
      <c r="L17" s="7">
        <v>8904000</v>
      </c>
      <c r="M17" s="7">
        <v>11592000</v>
      </c>
      <c r="N17" s="7">
        <v>14988000</v>
      </c>
      <c r="O17" s="7">
        <v>14988000</v>
      </c>
      <c r="P17" s="7">
        <v>14988000</v>
      </c>
      <c r="Q17" s="7">
        <v>17388000</v>
      </c>
      <c r="R17" s="7">
        <v>18324000</v>
      </c>
      <c r="S17" s="7">
        <v>24492000</v>
      </c>
      <c r="T17" s="3"/>
      <c r="AD17" s="3"/>
      <c r="AE17" s="3"/>
    </row>
    <row r="18" spans="1:31" ht="17.25" customHeight="1">
      <c r="A18" s="7">
        <v>14</v>
      </c>
      <c r="B18" s="7">
        <v>12096000</v>
      </c>
      <c r="C18" s="7">
        <v>9300000</v>
      </c>
      <c r="D18" s="7">
        <v>25032000</v>
      </c>
      <c r="E18" s="7">
        <v>14988000</v>
      </c>
      <c r="F18" s="7">
        <v>18324000</v>
      </c>
      <c r="G18" s="7">
        <v>17388000</v>
      </c>
      <c r="H18" s="7">
        <v>14988000</v>
      </c>
      <c r="I18" s="7">
        <v>14988000</v>
      </c>
      <c r="K18" s="7">
        <v>14</v>
      </c>
      <c r="L18" s="7">
        <v>9300000</v>
      </c>
      <c r="M18" s="7">
        <v>12096000</v>
      </c>
      <c r="N18" s="7">
        <v>14988000</v>
      </c>
      <c r="O18" s="7">
        <v>14988000</v>
      </c>
      <c r="P18" s="7">
        <v>14988000</v>
      </c>
      <c r="Q18" s="7">
        <v>17388000</v>
      </c>
      <c r="R18" s="7">
        <v>18324000</v>
      </c>
      <c r="S18" s="7">
        <v>25032000</v>
      </c>
      <c r="T18" s="3"/>
      <c r="AD18" s="3"/>
      <c r="AE18" s="3"/>
    </row>
    <row r="19" spans="1:19" s="214" customFormat="1" ht="12.75" customHeight="1">
      <c r="A19" s="7">
        <v>15</v>
      </c>
      <c r="B19" s="7">
        <v>12096000</v>
      </c>
      <c r="C19" s="7">
        <v>9300000</v>
      </c>
      <c r="D19" s="7">
        <v>25572000</v>
      </c>
      <c r="E19" s="7">
        <v>15792000</v>
      </c>
      <c r="F19" s="7">
        <v>19248000</v>
      </c>
      <c r="G19" s="7">
        <v>18324000</v>
      </c>
      <c r="H19" s="7">
        <v>15792000</v>
      </c>
      <c r="I19" s="7">
        <v>15792000</v>
      </c>
      <c r="K19" s="7">
        <v>15</v>
      </c>
      <c r="L19" s="7">
        <v>9300000</v>
      </c>
      <c r="M19" s="7">
        <v>12096000</v>
      </c>
      <c r="N19" s="7">
        <v>15792000</v>
      </c>
      <c r="O19" s="7">
        <v>15792000</v>
      </c>
      <c r="P19" s="7">
        <v>15792000</v>
      </c>
      <c r="Q19" s="7">
        <v>18324000</v>
      </c>
      <c r="R19" s="7">
        <v>19248000</v>
      </c>
      <c r="S19" s="7">
        <v>25572000</v>
      </c>
    </row>
    <row r="20" spans="1:19" s="214" customFormat="1" ht="12.75" customHeight="1">
      <c r="A20" s="7">
        <v>16</v>
      </c>
      <c r="B20" s="7">
        <v>12600000</v>
      </c>
      <c r="C20" s="7">
        <v>9684000</v>
      </c>
      <c r="D20" s="7">
        <v>26112000</v>
      </c>
      <c r="E20" s="7">
        <v>15792000</v>
      </c>
      <c r="F20" s="7">
        <v>19248000</v>
      </c>
      <c r="G20" s="7">
        <v>18324000</v>
      </c>
      <c r="H20" s="7">
        <v>15792000</v>
      </c>
      <c r="I20" s="7">
        <v>15792000</v>
      </c>
      <c r="K20" s="7">
        <v>16</v>
      </c>
      <c r="L20" s="7">
        <v>9684000</v>
      </c>
      <c r="M20" s="7">
        <v>12600000</v>
      </c>
      <c r="N20" s="7">
        <v>15792000</v>
      </c>
      <c r="O20" s="7">
        <v>15792000</v>
      </c>
      <c r="P20" s="7">
        <v>15792000</v>
      </c>
      <c r="Q20" s="7">
        <v>18324000</v>
      </c>
      <c r="R20" s="7">
        <v>19248000</v>
      </c>
      <c r="S20" s="7">
        <v>26112000</v>
      </c>
    </row>
    <row r="21" spans="1:19" s="214" customFormat="1" ht="12.75" customHeight="1">
      <c r="A21" s="7">
        <v>17</v>
      </c>
      <c r="B21" s="7">
        <v>12600000</v>
      </c>
      <c r="C21" s="7">
        <v>9684000</v>
      </c>
      <c r="D21" s="7">
        <v>26472000</v>
      </c>
      <c r="E21" s="7">
        <v>16596000</v>
      </c>
      <c r="F21" s="7">
        <v>21372000</v>
      </c>
      <c r="G21" s="7">
        <v>19248000</v>
      </c>
      <c r="H21" s="7">
        <v>16596000</v>
      </c>
      <c r="I21" s="7">
        <v>16596000</v>
      </c>
      <c r="K21" s="7">
        <v>17</v>
      </c>
      <c r="L21" s="7">
        <v>9684000</v>
      </c>
      <c r="M21" s="7">
        <v>12600000</v>
      </c>
      <c r="N21" s="7">
        <v>16596000</v>
      </c>
      <c r="O21" s="7">
        <v>16596000</v>
      </c>
      <c r="P21" s="7">
        <v>16596000</v>
      </c>
      <c r="Q21" s="7">
        <v>19248000</v>
      </c>
      <c r="R21" s="7">
        <v>21372000</v>
      </c>
      <c r="S21" s="7">
        <v>26472000</v>
      </c>
    </row>
    <row r="22" spans="1:19" s="214" customFormat="1" ht="12.75" customHeight="1">
      <c r="A22" s="7">
        <v>18</v>
      </c>
      <c r="B22" s="7">
        <v>13104000</v>
      </c>
      <c r="C22" s="7">
        <v>10068000</v>
      </c>
      <c r="D22" s="7">
        <v>26832000</v>
      </c>
      <c r="E22" s="7">
        <v>16596000</v>
      </c>
      <c r="F22" s="7">
        <v>21972000</v>
      </c>
      <c r="G22" s="7">
        <v>20172000</v>
      </c>
      <c r="H22" s="7">
        <v>16596000</v>
      </c>
      <c r="I22" s="7">
        <v>16596000</v>
      </c>
      <c r="K22" s="7">
        <v>18</v>
      </c>
      <c r="L22" s="7">
        <v>10068000</v>
      </c>
      <c r="M22" s="7">
        <v>13104000</v>
      </c>
      <c r="N22" s="7">
        <v>16596000</v>
      </c>
      <c r="O22" s="7">
        <v>16596000</v>
      </c>
      <c r="P22" s="7">
        <v>16596000</v>
      </c>
      <c r="Q22" s="7">
        <v>20172000</v>
      </c>
      <c r="R22" s="7">
        <v>21972000</v>
      </c>
      <c r="S22" s="7">
        <v>26832000</v>
      </c>
    </row>
    <row r="23" spans="1:19" s="214" customFormat="1" ht="12.75" customHeight="1">
      <c r="A23" s="7">
        <v>19</v>
      </c>
      <c r="B23" s="7">
        <v>13104000</v>
      </c>
      <c r="C23" s="7">
        <v>10068000</v>
      </c>
      <c r="D23" s="7">
        <v>26832000</v>
      </c>
      <c r="E23" s="7">
        <v>17388000</v>
      </c>
      <c r="F23" s="7">
        <v>21972000</v>
      </c>
      <c r="G23" s="7">
        <v>20172000</v>
      </c>
      <c r="H23" s="7">
        <v>17388000</v>
      </c>
      <c r="I23" s="7">
        <v>17388000</v>
      </c>
      <c r="K23" s="7">
        <v>19</v>
      </c>
      <c r="L23" s="7">
        <v>10068000</v>
      </c>
      <c r="M23" s="7">
        <v>13104000</v>
      </c>
      <c r="N23" s="7">
        <v>17388000</v>
      </c>
      <c r="O23" s="7">
        <v>17388000</v>
      </c>
      <c r="P23" s="7">
        <v>17388000</v>
      </c>
      <c r="Q23" s="7">
        <v>20172000</v>
      </c>
      <c r="R23" s="7">
        <v>21972000</v>
      </c>
      <c r="S23" s="7">
        <v>26832000</v>
      </c>
    </row>
    <row r="24" spans="1:19" s="214" customFormat="1" ht="12.75" customHeight="1">
      <c r="A24" s="7">
        <v>20</v>
      </c>
      <c r="B24" s="7">
        <v>13608000</v>
      </c>
      <c r="C24" s="7">
        <v>10464000</v>
      </c>
      <c r="D24" s="7">
        <v>27552000</v>
      </c>
      <c r="E24" s="7">
        <v>18960000</v>
      </c>
      <c r="F24" s="7">
        <v>22716000</v>
      </c>
      <c r="G24" s="7">
        <v>20784000</v>
      </c>
      <c r="H24" s="7">
        <v>17388000</v>
      </c>
      <c r="I24" s="7">
        <v>17388000</v>
      </c>
      <c r="K24" s="7">
        <v>20</v>
      </c>
      <c r="L24" s="7">
        <v>10464000</v>
      </c>
      <c r="M24" s="7">
        <v>13608000</v>
      </c>
      <c r="N24" s="7">
        <v>17388000</v>
      </c>
      <c r="O24" s="7">
        <v>17388000</v>
      </c>
      <c r="P24" s="7">
        <v>18960000</v>
      </c>
      <c r="Q24" s="7">
        <v>20784000</v>
      </c>
      <c r="R24" s="7">
        <v>22716000</v>
      </c>
      <c r="S24" s="7">
        <v>27552000</v>
      </c>
    </row>
    <row r="25" spans="1:19" s="214" customFormat="1" ht="12.75" customHeight="1">
      <c r="A25" s="7">
        <v>21</v>
      </c>
      <c r="B25" s="7">
        <v>13608000</v>
      </c>
      <c r="C25" s="7">
        <v>10464000</v>
      </c>
      <c r="D25" s="7">
        <v>27912000</v>
      </c>
      <c r="E25" s="7">
        <v>18960000</v>
      </c>
      <c r="F25" s="7">
        <v>22716000</v>
      </c>
      <c r="G25" s="7">
        <v>20784000</v>
      </c>
      <c r="H25" s="7">
        <v>17916000</v>
      </c>
      <c r="I25" s="7">
        <v>17916000</v>
      </c>
      <c r="K25" s="7">
        <v>21</v>
      </c>
      <c r="L25" s="7">
        <v>10464000</v>
      </c>
      <c r="M25" s="7">
        <v>13608000</v>
      </c>
      <c r="N25" s="7">
        <v>17916000</v>
      </c>
      <c r="O25" s="7">
        <v>17916000</v>
      </c>
      <c r="P25" s="7">
        <v>18960000</v>
      </c>
      <c r="Q25" s="7">
        <v>20784000</v>
      </c>
      <c r="R25" s="7">
        <v>22716000</v>
      </c>
      <c r="S25" s="7">
        <v>27912000</v>
      </c>
    </row>
    <row r="26" spans="1:19" s="214" customFormat="1" ht="12.75" customHeight="1">
      <c r="A26" s="7">
        <v>22</v>
      </c>
      <c r="B26" s="7">
        <v>13884000</v>
      </c>
      <c r="C26" s="7">
        <v>10668000</v>
      </c>
      <c r="D26" s="7">
        <v>28272000</v>
      </c>
      <c r="E26" s="7">
        <v>19476000</v>
      </c>
      <c r="F26" s="7">
        <v>23196000</v>
      </c>
      <c r="G26" s="7">
        <v>21372000</v>
      </c>
      <c r="H26" s="7">
        <v>17916000</v>
      </c>
      <c r="I26" s="7">
        <v>17916000</v>
      </c>
      <c r="K26" s="7">
        <v>22</v>
      </c>
      <c r="L26" s="7">
        <v>10668000</v>
      </c>
      <c r="M26" s="7">
        <v>13884000</v>
      </c>
      <c r="N26" s="7">
        <v>17916000</v>
      </c>
      <c r="O26" s="7">
        <v>17916000</v>
      </c>
      <c r="P26" s="7">
        <v>19476000</v>
      </c>
      <c r="Q26" s="7">
        <v>21372000</v>
      </c>
      <c r="R26" s="7">
        <v>23196000</v>
      </c>
      <c r="S26" s="7">
        <v>28272000</v>
      </c>
    </row>
    <row r="27" spans="1:19" s="286" customFormat="1" ht="21.75" customHeight="1">
      <c r="A27" s="7">
        <v>23</v>
      </c>
      <c r="B27" s="7">
        <v>13884000</v>
      </c>
      <c r="C27" s="7">
        <v>10668000</v>
      </c>
      <c r="D27" s="7">
        <v>28632000</v>
      </c>
      <c r="E27" s="7">
        <v>19476000</v>
      </c>
      <c r="F27" s="7">
        <v>23196000</v>
      </c>
      <c r="G27" s="7">
        <v>21372000</v>
      </c>
      <c r="H27" s="7">
        <v>18432000</v>
      </c>
      <c r="I27" s="7">
        <v>18432000</v>
      </c>
      <c r="K27" s="7">
        <v>23</v>
      </c>
      <c r="L27" s="7">
        <v>10668000</v>
      </c>
      <c r="M27" s="7">
        <v>13884000</v>
      </c>
      <c r="N27" s="7">
        <v>18432000</v>
      </c>
      <c r="O27" s="7">
        <v>18432000</v>
      </c>
      <c r="P27" s="7">
        <v>19476000</v>
      </c>
      <c r="Q27" s="7">
        <v>21372000</v>
      </c>
      <c r="R27" s="7">
        <v>23196000</v>
      </c>
      <c r="S27" s="7">
        <v>28632000</v>
      </c>
    </row>
    <row r="28" spans="1:31" ht="12.75" customHeight="1">
      <c r="A28" s="7">
        <v>24</v>
      </c>
      <c r="B28" s="7">
        <v>14160000</v>
      </c>
      <c r="C28" s="7">
        <v>10872000</v>
      </c>
      <c r="D28" s="7">
        <v>28992000</v>
      </c>
      <c r="E28" s="7">
        <v>20004000</v>
      </c>
      <c r="F28" s="7">
        <v>23808000</v>
      </c>
      <c r="G28" s="7">
        <v>21972000</v>
      </c>
      <c r="H28" s="7">
        <v>18960000</v>
      </c>
      <c r="I28" s="7">
        <v>18960000</v>
      </c>
      <c r="K28" s="7">
        <v>24</v>
      </c>
      <c r="L28" s="7">
        <v>10872000</v>
      </c>
      <c r="M28" s="7">
        <v>14160000</v>
      </c>
      <c r="N28" s="7">
        <v>18960000</v>
      </c>
      <c r="O28" s="7">
        <v>18960000</v>
      </c>
      <c r="P28" s="7">
        <v>20004000</v>
      </c>
      <c r="Q28" s="7">
        <v>21972000</v>
      </c>
      <c r="R28" s="7">
        <v>23808000</v>
      </c>
      <c r="S28" s="7">
        <v>28992000</v>
      </c>
      <c r="T28" s="3"/>
      <c r="AD28" s="3"/>
      <c r="AE28" s="3"/>
    </row>
    <row r="29" spans="1:31" ht="12.75" customHeight="1">
      <c r="A29" s="7">
        <v>25</v>
      </c>
      <c r="B29" s="7">
        <v>14160000</v>
      </c>
      <c r="C29" s="7">
        <v>10872000</v>
      </c>
      <c r="D29" s="7">
        <v>29352000</v>
      </c>
      <c r="E29" s="7">
        <v>20004000</v>
      </c>
      <c r="F29" s="7">
        <v>23808000</v>
      </c>
      <c r="G29" s="7">
        <v>21972000</v>
      </c>
      <c r="H29" s="7">
        <v>18960000</v>
      </c>
      <c r="I29" s="7">
        <v>18960000</v>
      </c>
      <c r="K29" s="7">
        <v>25</v>
      </c>
      <c r="L29" s="7">
        <v>10872000</v>
      </c>
      <c r="M29" s="7">
        <v>14160000</v>
      </c>
      <c r="N29" s="7">
        <v>18960000</v>
      </c>
      <c r="O29" s="7">
        <v>18960000</v>
      </c>
      <c r="P29" s="7">
        <v>20004000</v>
      </c>
      <c r="Q29" s="7">
        <v>21972000</v>
      </c>
      <c r="R29" s="7">
        <v>23808000</v>
      </c>
      <c r="S29" s="7">
        <v>29352000</v>
      </c>
      <c r="T29" s="3"/>
      <c r="AD29" s="3"/>
      <c r="AE29" s="3"/>
    </row>
    <row r="30" spans="1:31" ht="19.5" customHeight="1">
      <c r="A30" s="7">
        <v>26</v>
      </c>
      <c r="B30" s="7">
        <v>14436000</v>
      </c>
      <c r="C30" s="7">
        <v>11088000</v>
      </c>
      <c r="D30" s="7">
        <v>29712000</v>
      </c>
      <c r="E30" s="7">
        <v>20532000</v>
      </c>
      <c r="F30" s="7">
        <v>24408000</v>
      </c>
      <c r="G30" s="7">
        <v>22716000</v>
      </c>
      <c r="H30" s="7">
        <v>19476000</v>
      </c>
      <c r="I30" s="7">
        <v>19476000</v>
      </c>
      <c r="K30" s="7">
        <v>26</v>
      </c>
      <c r="L30" s="7">
        <v>11088000</v>
      </c>
      <c r="M30" s="7">
        <v>14436000</v>
      </c>
      <c r="N30" s="7">
        <v>19476000</v>
      </c>
      <c r="O30" s="7">
        <v>19476000</v>
      </c>
      <c r="P30" s="7">
        <v>20532000</v>
      </c>
      <c r="Q30" s="7">
        <v>22716000</v>
      </c>
      <c r="R30" s="7">
        <v>24408000</v>
      </c>
      <c r="S30" s="7">
        <v>29712000</v>
      </c>
      <c r="T30" s="3"/>
      <c r="AD30" s="3"/>
      <c r="AE30" s="3"/>
    </row>
    <row r="31" spans="1:31" ht="12.75" customHeight="1">
      <c r="A31" s="7">
        <v>27</v>
      </c>
      <c r="B31" s="7">
        <v>14436000</v>
      </c>
      <c r="C31" s="7">
        <v>11088000</v>
      </c>
      <c r="D31" s="7">
        <v>30072000</v>
      </c>
      <c r="E31" s="7">
        <v>20532000</v>
      </c>
      <c r="F31" s="7">
        <v>24408000</v>
      </c>
      <c r="G31" s="7">
        <v>22716000</v>
      </c>
      <c r="H31" s="7">
        <v>19476000</v>
      </c>
      <c r="I31" s="7">
        <v>19476000</v>
      </c>
      <c r="K31" s="7">
        <v>27</v>
      </c>
      <c r="L31" s="7">
        <v>11088000</v>
      </c>
      <c r="M31" s="7">
        <v>14436000</v>
      </c>
      <c r="N31" s="7">
        <v>19476000</v>
      </c>
      <c r="O31" s="7">
        <v>19476000</v>
      </c>
      <c r="P31" s="7">
        <v>20532000</v>
      </c>
      <c r="Q31" s="7">
        <v>22716000</v>
      </c>
      <c r="R31" s="7">
        <v>24408000</v>
      </c>
      <c r="S31" s="7">
        <v>30072000</v>
      </c>
      <c r="T31" s="3"/>
      <c r="AD31" s="3"/>
      <c r="AE31" s="3"/>
    </row>
    <row r="32" spans="1:31" ht="12.75" customHeight="1">
      <c r="A32" s="7">
        <v>28</v>
      </c>
      <c r="B32" s="7">
        <v>14700000</v>
      </c>
      <c r="C32" s="7">
        <v>11292000</v>
      </c>
      <c r="D32" s="7">
        <v>30432000</v>
      </c>
      <c r="E32" s="7">
        <v>21084000</v>
      </c>
      <c r="F32" s="7">
        <v>24996000</v>
      </c>
      <c r="G32" s="7">
        <v>23196000</v>
      </c>
      <c r="H32" s="7">
        <v>20004000</v>
      </c>
      <c r="I32" s="7">
        <v>20004000</v>
      </c>
      <c r="K32" s="7">
        <v>28</v>
      </c>
      <c r="L32" s="7">
        <v>11292000</v>
      </c>
      <c r="M32" s="7">
        <v>14700000</v>
      </c>
      <c r="N32" s="7">
        <v>20004000</v>
      </c>
      <c r="O32" s="7">
        <v>20004000</v>
      </c>
      <c r="P32" s="7">
        <v>21084000</v>
      </c>
      <c r="Q32" s="7">
        <v>23196000</v>
      </c>
      <c r="R32" s="7">
        <v>24996000</v>
      </c>
      <c r="S32" s="7">
        <v>30432000</v>
      </c>
      <c r="T32" s="3"/>
      <c r="AD32" s="3"/>
      <c r="AE32" s="3"/>
    </row>
    <row r="33" spans="1:31" ht="12.75" customHeight="1">
      <c r="A33" s="7">
        <v>29</v>
      </c>
      <c r="B33" s="7">
        <v>14700000</v>
      </c>
      <c r="C33" s="7">
        <v>11292000</v>
      </c>
      <c r="D33" s="7">
        <v>30792000</v>
      </c>
      <c r="E33" s="7">
        <v>21048000</v>
      </c>
      <c r="F33" s="7">
        <v>24996000</v>
      </c>
      <c r="G33" s="7">
        <v>23196000</v>
      </c>
      <c r="H33" s="7">
        <v>20004000</v>
      </c>
      <c r="I33" s="7">
        <v>20004000</v>
      </c>
      <c r="K33" s="7">
        <v>29</v>
      </c>
      <c r="L33" s="7">
        <v>11292000</v>
      </c>
      <c r="M33" s="7">
        <v>14700000</v>
      </c>
      <c r="N33" s="7">
        <v>20004000</v>
      </c>
      <c r="O33" s="7">
        <v>20004000</v>
      </c>
      <c r="P33" s="7">
        <v>21048000</v>
      </c>
      <c r="Q33" s="7">
        <v>23196000</v>
      </c>
      <c r="R33" s="7">
        <v>24996000</v>
      </c>
      <c r="S33" s="7">
        <v>30792000</v>
      </c>
      <c r="T33" s="3"/>
      <c r="AD33" s="3"/>
      <c r="AE33" s="3"/>
    </row>
    <row r="34" spans="1:31" ht="12.75" customHeight="1">
      <c r="A34" s="7">
        <v>30</v>
      </c>
      <c r="B34" s="7">
        <v>14976000</v>
      </c>
      <c r="C34" s="7">
        <v>11508000</v>
      </c>
      <c r="D34" s="7">
        <v>30792000</v>
      </c>
      <c r="E34" s="7">
        <v>21048000</v>
      </c>
      <c r="F34" s="7">
        <v>25608000</v>
      </c>
      <c r="G34" s="7">
        <v>23808000</v>
      </c>
      <c r="H34" s="7">
        <v>20532000</v>
      </c>
      <c r="I34" s="7">
        <v>20532000</v>
      </c>
      <c r="K34" s="7">
        <v>30</v>
      </c>
      <c r="L34" s="7">
        <v>11508000</v>
      </c>
      <c r="M34" s="7">
        <v>14976000</v>
      </c>
      <c r="N34" s="7">
        <v>20532000</v>
      </c>
      <c r="O34" s="7">
        <v>20532000</v>
      </c>
      <c r="P34" s="7">
        <v>21048000</v>
      </c>
      <c r="Q34" s="7">
        <v>23808000</v>
      </c>
      <c r="R34" s="7">
        <v>24996000</v>
      </c>
      <c r="S34" s="7">
        <v>30792000</v>
      </c>
      <c r="T34" s="3"/>
      <c r="AD34" s="3"/>
      <c r="AE34" s="3"/>
    </row>
    <row r="35" spans="1:31" ht="12.75" customHeight="1">
      <c r="A35" s="7">
        <v>31</v>
      </c>
      <c r="B35" s="7">
        <v>14976000</v>
      </c>
      <c r="C35" s="7">
        <v>11508000</v>
      </c>
      <c r="D35" s="7">
        <v>31512000</v>
      </c>
      <c r="E35" s="7">
        <v>21564000</v>
      </c>
      <c r="F35" s="7">
        <v>25608000</v>
      </c>
      <c r="G35" s="7">
        <v>23808000</v>
      </c>
      <c r="H35" s="7">
        <v>20532000</v>
      </c>
      <c r="I35" s="7">
        <v>20532000</v>
      </c>
      <c r="K35" s="7">
        <v>31</v>
      </c>
      <c r="L35" s="7">
        <v>11508000</v>
      </c>
      <c r="M35" s="7">
        <v>14976000</v>
      </c>
      <c r="N35" s="7">
        <v>20532000</v>
      </c>
      <c r="O35" s="7">
        <v>20532000</v>
      </c>
      <c r="P35" s="7">
        <v>21564000</v>
      </c>
      <c r="Q35" s="7">
        <v>23808000</v>
      </c>
      <c r="R35" s="7">
        <v>25608000</v>
      </c>
      <c r="S35" s="7">
        <v>31512000</v>
      </c>
      <c r="T35" s="3"/>
      <c r="AD35" s="3"/>
      <c r="AE35" s="3"/>
    </row>
    <row r="36" spans="1:31" ht="12.75" customHeight="1">
      <c r="A36" s="7">
        <v>32</v>
      </c>
      <c r="B36" s="7">
        <v>15252000</v>
      </c>
      <c r="C36" s="7">
        <v>11712000</v>
      </c>
      <c r="D36" s="7">
        <v>31872000</v>
      </c>
      <c r="E36" s="7">
        <v>22092000</v>
      </c>
      <c r="F36" s="7">
        <v>26208000</v>
      </c>
      <c r="G36" s="7">
        <v>24408000</v>
      </c>
      <c r="H36" s="7">
        <v>21048000</v>
      </c>
      <c r="I36" s="7">
        <v>21048000</v>
      </c>
      <c r="K36" s="7">
        <v>32</v>
      </c>
      <c r="L36" s="7">
        <v>11712000</v>
      </c>
      <c r="M36" s="7">
        <v>15252000</v>
      </c>
      <c r="N36" s="7">
        <v>21048000</v>
      </c>
      <c r="O36" s="7">
        <v>21048000</v>
      </c>
      <c r="P36" s="7">
        <v>22092000</v>
      </c>
      <c r="Q36" s="7">
        <v>24408000</v>
      </c>
      <c r="R36" s="7">
        <v>26208000</v>
      </c>
      <c r="S36" s="7">
        <v>31872000</v>
      </c>
      <c r="T36" s="3"/>
      <c r="AD36" s="3"/>
      <c r="AE36" s="3"/>
    </row>
    <row r="37" spans="1:31" ht="12.75" customHeight="1">
      <c r="A37" s="7">
        <v>33</v>
      </c>
      <c r="B37" s="7">
        <v>15252000</v>
      </c>
      <c r="C37" s="7">
        <v>11712000</v>
      </c>
      <c r="D37" s="7">
        <v>32232000</v>
      </c>
      <c r="E37" s="7">
        <v>22092000</v>
      </c>
      <c r="F37" s="7">
        <v>26208000</v>
      </c>
      <c r="G37" s="7">
        <v>24408000</v>
      </c>
      <c r="H37" s="7">
        <v>21048000</v>
      </c>
      <c r="I37" s="7">
        <v>21048000</v>
      </c>
      <c r="K37" s="7">
        <v>33</v>
      </c>
      <c r="L37" s="7">
        <v>11712000</v>
      </c>
      <c r="M37" s="7">
        <v>15252000</v>
      </c>
      <c r="N37" s="7">
        <v>21048000</v>
      </c>
      <c r="O37" s="7">
        <v>21048000</v>
      </c>
      <c r="P37" s="7">
        <v>22092000</v>
      </c>
      <c r="Q37" s="7">
        <v>24408000</v>
      </c>
      <c r="R37" s="7">
        <v>26208000</v>
      </c>
      <c r="S37" s="7">
        <v>32232000</v>
      </c>
      <c r="T37" s="3"/>
      <c r="AD37" s="3"/>
      <c r="AE37" s="3"/>
    </row>
    <row r="38" spans="1:31" ht="12.75" customHeight="1">
      <c r="A38" s="7">
        <v>34</v>
      </c>
      <c r="B38" s="7">
        <v>15516000</v>
      </c>
      <c r="C38" s="7">
        <v>11928000</v>
      </c>
      <c r="D38" s="7">
        <v>32592000</v>
      </c>
      <c r="E38" s="7">
        <v>22608000</v>
      </c>
      <c r="F38" s="7">
        <v>26820000</v>
      </c>
      <c r="G38" s="7">
        <v>24996000</v>
      </c>
      <c r="H38" s="7">
        <v>21564000</v>
      </c>
      <c r="I38" s="7">
        <v>21564000</v>
      </c>
      <c r="K38" s="7">
        <v>34</v>
      </c>
      <c r="L38" s="7">
        <v>11928000</v>
      </c>
      <c r="M38" s="7">
        <v>15516000</v>
      </c>
      <c r="N38" s="7">
        <v>21564000</v>
      </c>
      <c r="O38" s="7">
        <v>21564000</v>
      </c>
      <c r="P38" s="7">
        <v>22608000</v>
      </c>
      <c r="Q38" s="7">
        <v>24996000</v>
      </c>
      <c r="R38" s="7">
        <v>26820000</v>
      </c>
      <c r="S38" s="7">
        <v>32592000</v>
      </c>
      <c r="T38" s="3"/>
      <c r="AD38" s="3"/>
      <c r="AE38" s="3"/>
    </row>
    <row r="39" spans="1:31" ht="19.5" customHeight="1">
      <c r="A39" s="7">
        <v>35</v>
      </c>
      <c r="B39" s="7">
        <v>15516000</v>
      </c>
      <c r="C39" s="7">
        <v>11928000</v>
      </c>
      <c r="D39" s="7">
        <v>32592000</v>
      </c>
      <c r="E39" s="7">
        <v>22608000</v>
      </c>
      <c r="F39" s="7">
        <v>26820000</v>
      </c>
      <c r="G39" s="7">
        <v>24996000</v>
      </c>
      <c r="H39" s="7">
        <v>21564000</v>
      </c>
      <c r="I39" s="7">
        <v>21564000</v>
      </c>
      <c r="K39" s="7">
        <v>35</v>
      </c>
      <c r="L39" s="7">
        <v>11928000</v>
      </c>
      <c r="M39" s="7">
        <v>15516000</v>
      </c>
      <c r="N39" s="7">
        <v>21564000</v>
      </c>
      <c r="O39" s="7">
        <v>21564000</v>
      </c>
      <c r="P39" s="7">
        <v>22608000</v>
      </c>
      <c r="Q39" s="7">
        <v>24996000</v>
      </c>
      <c r="R39" s="7">
        <v>26820000</v>
      </c>
      <c r="S39" s="7">
        <v>32592000</v>
      </c>
      <c r="T39" s="3"/>
      <c r="AD39" s="3"/>
      <c r="AE39" s="3"/>
    </row>
    <row r="40" spans="1:31" ht="12.75" customHeight="1">
      <c r="A40" s="7">
        <v>36</v>
      </c>
      <c r="B40" s="7">
        <v>15792000</v>
      </c>
      <c r="C40" s="7">
        <v>12132000</v>
      </c>
      <c r="D40" s="7">
        <v>33312000</v>
      </c>
      <c r="E40" s="7">
        <v>23136000</v>
      </c>
      <c r="F40" s="7">
        <v>27420000</v>
      </c>
      <c r="G40" s="7">
        <v>25608000</v>
      </c>
      <c r="H40" s="7">
        <v>22092000</v>
      </c>
      <c r="I40" s="7">
        <v>22092000</v>
      </c>
      <c r="K40" s="7">
        <v>36</v>
      </c>
      <c r="L40" s="7">
        <v>12132000</v>
      </c>
      <c r="M40" s="7">
        <v>15792000</v>
      </c>
      <c r="N40" s="7">
        <v>22092000</v>
      </c>
      <c r="O40" s="7">
        <v>22092000</v>
      </c>
      <c r="P40" s="7">
        <v>23136000</v>
      </c>
      <c r="Q40" s="7">
        <v>25608000</v>
      </c>
      <c r="R40" s="7">
        <v>27420000</v>
      </c>
      <c r="S40" s="7">
        <v>33312000</v>
      </c>
      <c r="T40" s="3"/>
      <c r="AD40" s="3"/>
      <c r="AE40" s="3"/>
    </row>
    <row r="41" spans="1:31" ht="12.75" customHeight="1">
      <c r="A41" s="7">
        <v>37</v>
      </c>
      <c r="B41" s="7">
        <v>15792000</v>
      </c>
      <c r="C41" s="7">
        <v>12132000</v>
      </c>
      <c r="D41" s="7">
        <v>33672000</v>
      </c>
      <c r="E41" s="7">
        <v>23136000</v>
      </c>
      <c r="F41" s="7">
        <v>27420000</v>
      </c>
      <c r="G41" s="7">
        <v>25608000</v>
      </c>
      <c r="H41" s="7">
        <v>22092000</v>
      </c>
      <c r="I41" s="7">
        <v>22092000</v>
      </c>
      <c r="K41" s="7">
        <v>37</v>
      </c>
      <c r="L41" s="7">
        <v>12132000</v>
      </c>
      <c r="M41" s="7">
        <v>15792000</v>
      </c>
      <c r="N41" s="7">
        <v>22092000</v>
      </c>
      <c r="O41" s="7">
        <v>22092000</v>
      </c>
      <c r="P41" s="7">
        <v>23136000</v>
      </c>
      <c r="Q41" s="7">
        <v>25608000</v>
      </c>
      <c r="R41" s="7">
        <v>27420000</v>
      </c>
      <c r="S41" s="7">
        <v>33672000</v>
      </c>
      <c r="T41" s="3"/>
      <c r="AD41" s="3"/>
      <c r="AE41" s="3"/>
    </row>
    <row r="42" spans="1:31" ht="12.75">
      <c r="A42" s="7">
        <v>38</v>
      </c>
      <c r="B42" s="7">
        <v>16068000</v>
      </c>
      <c r="C42" s="7">
        <v>12348000</v>
      </c>
      <c r="D42" s="7">
        <v>34032000</v>
      </c>
      <c r="E42" s="7">
        <v>23652000</v>
      </c>
      <c r="F42" s="7">
        <v>28020000</v>
      </c>
      <c r="G42" s="7">
        <v>26208000</v>
      </c>
      <c r="H42" s="7">
        <v>22608000</v>
      </c>
      <c r="I42" s="7">
        <v>22608000</v>
      </c>
      <c r="K42" s="7">
        <v>38</v>
      </c>
      <c r="L42" s="7">
        <v>12348000</v>
      </c>
      <c r="M42" s="7">
        <v>16068000</v>
      </c>
      <c r="N42" s="7">
        <v>22608000</v>
      </c>
      <c r="O42" s="7">
        <v>22608000</v>
      </c>
      <c r="P42" s="7">
        <v>23652000</v>
      </c>
      <c r="Q42" s="7">
        <v>26208000</v>
      </c>
      <c r="R42" s="7">
        <v>28020000</v>
      </c>
      <c r="S42" s="7">
        <v>34032000</v>
      </c>
      <c r="T42" s="3"/>
      <c r="AD42" s="3"/>
      <c r="AE42" s="3"/>
    </row>
    <row r="43" spans="1:31" ht="12.75" customHeight="1">
      <c r="A43" s="7">
        <v>39</v>
      </c>
      <c r="B43" s="7">
        <v>16068000</v>
      </c>
      <c r="C43" s="7">
        <v>12348000</v>
      </c>
      <c r="D43" s="7">
        <v>34392000</v>
      </c>
      <c r="E43" s="7">
        <v>23652000</v>
      </c>
      <c r="F43" s="7">
        <v>28020000</v>
      </c>
      <c r="G43" s="7">
        <v>26208000</v>
      </c>
      <c r="H43" s="7">
        <v>22608000</v>
      </c>
      <c r="I43" s="7">
        <v>22608000</v>
      </c>
      <c r="K43" s="7">
        <v>39</v>
      </c>
      <c r="L43" s="7">
        <v>12348000</v>
      </c>
      <c r="M43" s="7">
        <v>16068000</v>
      </c>
      <c r="N43" s="7">
        <v>22608000</v>
      </c>
      <c r="O43" s="7">
        <v>22608000</v>
      </c>
      <c r="P43" s="7">
        <v>23652000</v>
      </c>
      <c r="Q43" s="7">
        <v>26208000</v>
      </c>
      <c r="R43" s="7">
        <v>28020000</v>
      </c>
      <c r="S43" s="7">
        <v>34392000</v>
      </c>
      <c r="T43" s="3"/>
      <c r="AD43" s="3"/>
      <c r="AE43" s="3"/>
    </row>
    <row r="44" spans="1:31" ht="12.75" customHeight="1" thickBot="1">
      <c r="A44" s="7">
        <v>40</v>
      </c>
      <c r="B44" s="7">
        <v>16344000</v>
      </c>
      <c r="C44" s="7">
        <v>12552000</v>
      </c>
      <c r="D44" s="7">
        <v>34752000</v>
      </c>
      <c r="E44" s="7">
        <v>24180000</v>
      </c>
      <c r="F44" s="7">
        <v>28620000</v>
      </c>
      <c r="G44" s="7">
        <v>26820000</v>
      </c>
      <c r="H44" s="7">
        <v>23136000</v>
      </c>
      <c r="I44" s="7">
        <v>23136000</v>
      </c>
      <c r="K44" s="16">
        <v>40</v>
      </c>
      <c r="L44" s="16">
        <v>12552000</v>
      </c>
      <c r="M44" s="16">
        <v>16344000</v>
      </c>
      <c r="N44" s="16">
        <v>23136000</v>
      </c>
      <c r="O44" s="16">
        <v>23136000</v>
      </c>
      <c r="P44" s="16">
        <v>24180000</v>
      </c>
      <c r="Q44" s="16">
        <v>26820000</v>
      </c>
      <c r="R44" s="16">
        <v>28620000</v>
      </c>
      <c r="S44" s="16">
        <v>34752000</v>
      </c>
      <c r="T44" s="3"/>
      <c r="AD44" s="3"/>
      <c r="AE44" s="3"/>
    </row>
    <row r="45" spans="1:31" ht="12.75" customHeight="1">
      <c r="A45" s="7" t="s">
        <v>172</v>
      </c>
      <c r="B45" s="7">
        <v>276000</v>
      </c>
      <c r="C45" s="7">
        <v>216000</v>
      </c>
      <c r="D45" s="7">
        <v>720000</v>
      </c>
      <c r="E45" s="7">
        <v>516000</v>
      </c>
      <c r="F45" s="7">
        <v>600000</v>
      </c>
      <c r="G45" s="7">
        <v>516000</v>
      </c>
      <c r="H45" s="7">
        <v>516000</v>
      </c>
      <c r="I45" s="7">
        <v>516000</v>
      </c>
      <c r="K45" s="11" t="s">
        <v>172</v>
      </c>
      <c r="L45" s="11">
        <v>216000</v>
      </c>
      <c r="M45" s="11">
        <v>276000</v>
      </c>
      <c r="N45" s="11">
        <v>516000</v>
      </c>
      <c r="O45" s="11">
        <v>516000</v>
      </c>
      <c r="P45" s="11">
        <v>516000</v>
      </c>
      <c r="Q45" s="11">
        <v>516000</v>
      </c>
      <c r="R45" s="11">
        <v>600000</v>
      </c>
      <c r="S45" s="11">
        <v>720000</v>
      </c>
      <c r="T45" s="3"/>
      <c r="AD45" s="3"/>
      <c r="AE45" s="3"/>
    </row>
    <row r="46" spans="2:31" ht="12.75" customHeight="1">
      <c r="B46" s="145" t="s">
        <v>96</v>
      </c>
      <c r="C46" s="145" t="s">
        <v>125</v>
      </c>
      <c r="D46" s="145" t="s">
        <v>131</v>
      </c>
      <c r="E46" s="145" t="s">
        <v>128</v>
      </c>
      <c r="F46" s="145" t="s">
        <v>130</v>
      </c>
      <c r="G46" s="145" t="s">
        <v>127</v>
      </c>
      <c r="H46" s="145" t="s">
        <v>126</v>
      </c>
      <c r="I46" s="145" t="s">
        <v>129</v>
      </c>
      <c r="L46" s="145" t="s">
        <v>125</v>
      </c>
      <c r="M46" s="145" t="s">
        <v>96</v>
      </c>
      <c r="N46" s="145" t="s">
        <v>126</v>
      </c>
      <c r="O46" s="145" t="s">
        <v>129</v>
      </c>
      <c r="P46" s="145" t="s">
        <v>128</v>
      </c>
      <c r="Q46" s="145" t="s">
        <v>127</v>
      </c>
      <c r="R46" s="145" t="s">
        <v>130</v>
      </c>
      <c r="S46" s="145" t="s">
        <v>131</v>
      </c>
      <c r="T46" s="3"/>
      <c r="AD46" s="3"/>
      <c r="AE46" s="3"/>
    </row>
    <row r="47" spans="1:31" ht="12.75">
      <c r="A47" s="7" t="s">
        <v>173</v>
      </c>
      <c r="B47" s="7">
        <v>264000</v>
      </c>
      <c r="C47" s="7">
        <v>216000</v>
      </c>
      <c r="D47" s="7">
        <v>528000</v>
      </c>
      <c r="E47" s="7">
        <v>324000</v>
      </c>
      <c r="F47" s="7">
        <v>384000</v>
      </c>
      <c r="G47" s="7">
        <v>384000</v>
      </c>
      <c r="H47" s="7">
        <v>324000</v>
      </c>
      <c r="I47" s="7">
        <v>324000</v>
      </c>
      <c r="K47" s="7" t="s">
        <v>173</v>
      </c>
      <c r="L47" s="7">
        <v>216000</v>
      </c>
      <c r="M47" s="7">
        <v>264000</v>
      </c>
      <c r="N47" s="7">
        <v>324000</v>
      </c>
      <c r="O47" s="7">
        <v>324000</v>
      </c>
      <c r="P47" s="7">
        <v>324000</v>
      </c>
      <c r="Q47" s="7">
        <v>384000</v>
      </c>
      <c r="R47" s="7">
        <v>384000</v>
      </c>
      <c r="S47" s="7">
        <v>528000</v>
      </c>
      <c r="T47" s="3"/>
      <c r="AD47" s="3"/>
      <c r="AE47" s="3"/>
    </row>
    <row r="48" spans="1:31" ht="11.25" customHeight="1">
      <c r="A48" s="287"/>
      <c r="D48" s="287"/>
      <c r="E48" s="288"/>
      <c r="F48" s="283"/>
      <c r="G48" s="289"/>
      <c r="H48" s="283"/>
      <c r="I48" s="290"/>
      <c r="K48" s="287"/>
      <c r="L48" s="291"/>
      <c r="O48" s="290"/>
      <c r="P48" s="288"/>
      <c r="Q48" s="289"/>
      <c r="R48" s="283"/>
      <c r="S48" s="287"/>
      <c r="T48" s="3"/>
      <c r="AD48" s="3"/>
      <c r="AE48" s="3"/>
    </row>
    <row r="49" spans="1:31" ht="15">
      <c r="A49" s="145"/>
      <c r="B49" s="292" t="s">
        <v>177</v>
      </c>
      <c r="C49" s="291"/>
      <c r="K49" s="145"/>
      <c r="M49" s="292" t="s">
        <v>177</v>
      </c>
      <c r="N49" s="283"/>
      <c r="T49" s="3"/>
      <c r="AD49" s="3"/>
      <c r="AE49" s="3"/>
    </row>
    <row r="50" spans="1:31" ht="23.25" customHeight="1">
      <c r="A50" s="293"/>
      <c r="B50" s="145" t="s">
        <v>96</v>
      </c>
      <c r="C50" s="145" t="s">
        <v>125</v>
      </c>
      <c r="D50" s="145" t="s">
        <v>131</v>
      </c>
      <c r="E50" s="145" t="s">
        <v>128</v>
      </c>
      <c r="F50" s="145" t="s">
        <v>130</v>
      </c>
      <c r="G50" s="145" t="s">
        <v>127</v>
      </c>
      <c r="H50" s="145" t="s">
        <v>126</v>
      </c>
      <c r="I50" s="145" t="s">
        <v>129</v>
      </c>
      <c r="K50" s="293"/>
      <c r="L50" s="145" t="s">
        <v>125</v>
      </c>
      <c r="M50" s="145" t="s">
        <v>96</v>
      </c>
      <c r="N50" s="145" t="s">
        <v>126</v>
      </c>
      <c r="O50" s="145" t="s">
        <v>129</v>
      </c>
      <c r="P50" s="145" t="s">
        <v>128</v>
      </c>
      <c r="Q50" s="145" t="s">
        <v>127</v>
      </c>
      <c r="R50" s="145" t="s">
        <v>130</v>
      </c>
      <c r="S50" s="145" t="s">
        <v>131</v>
      </c>
      <c r="T50" s="3"/>
      <c r="AD50" s="3"/>
      <c r="AE50" s="3"/>
    </row>
    <row r="51" spans="1:31" ht="12.75">
      <c r="A51" s="11">
        <v>0</v>
      </c>
      <c r="B51" s="7">
        <v>852000</v>
      </c>
      <c r="C51" s="7">
        <v>648000</v>
      </c>
      <c r="D51" s="7">
        <v>0</v>
      </c>
      <c r="E51" s="7">
        <v>1224000</v>
      </c>
      <c r="F51" s="7">
        <v>1416000</v>
      </c>
      <c r="G51" s="7">
        <v>1416000</v>
      </c>
      <c r="H51" s="7">
        <v>1224000</v>
      </c>
      <c r="I51" s="7">
        <v>1224000</v>
      </c>
      <c r="K51" s="11">
        <v>0</v>
      </c>
      <c r="L51" s="7">
        <v>648000</v>
      </c>
      <c r="M51" s="7">
        <v>852000</v>
      </c>
      <c r="N51" s="7">
        <v>1224000</v>
      </c>
      <c r="O51" s="7">
        <v>1224000</v>
      </c>
      <c r="P51" s="7">
        <v>1224000</v>
      </c>
      <c r="Q51" s="7">
        <v>1416000</v>
      </c>
      <c r="R51" s="7">
        <v>1416000</v>
      </c>
      <c r="S51" s="7">
        <v>0</v>
      </c>
      <c r="T51" s="3"/>
      <c r="AD51" s="3"/>
      <c r="AE51" s="3"/>
    </row>
    <row r="52" spans="1:31" ht="12.75">
      <c r="A52" s="7">
        <v>1</v>
      </c>
      <c r="B52" s="7">
        <v>852000</v>
      </c>
      <c r="C52" s="7">
        <v>648000</v>
      </c>
      <c r="D52" s="7">
        <v>0</v>
      </c>
      <c r="E52" s="7">
        <v>1224000</v>
      </c>
      <c r="F52" s="7">
        <v>1488000</v>
      </c>
      <c r="G52" s="7">
        <v>1416000</v>
      </c>
      <c r="H52" s="7">
        <v>1224000</v>
      </c>
      <c r="I52" s="7">
        <v>1224000</v>
      </c>
      <c r="K52" s="7">
        <v>1</v>
      </c>
      <c r="L52" s="7">
        <v>648000</v>
      </c>
      <c r="M52" s="7">
        <v>852000</v>
      </c>
      <c r="N52" s="7">
        <v>1224000</v>
      </c>
      <c r="O52" s="7">
        <v>1224000</v>
      </c>
      <c r="P52" s="7">
        <v>1224000</v>
      </c>
      <c r="Q52" s="7">
        <v>1416000</v>
      </c>
      <c r="R52" s="7">
        <v>1488000</v>
      </c>
      <c r="S52" s="7">
        <v>0</v>
      </c>
      <c r="T52" s="3"/>
      <c r="AD52" s="3"/>
      <c r="AE52" s="3"/>
    </row>
    <row r="53" spans="1:31" ht="12.75">
      <c r="A53" s="7">
        <v>2</v>
      </c>
      <c r="B53" s="7">
        <v>888000</v>
      </c>
      <c r="C53" s="7">
        <v>684000</v>
      </c>
      <c r="D53" s="7">
        <v>0</v>
      </c>
      <c r="E53" s="7">
        <v>1224000</v>
      </c>
      <c r="F53" s="7">
        <v>1488000</v>
      </c>
      <c r="G53" s="7">
        <v>1416000</v>
      </c>
      <c r="H53" s="7">
        <v>1224000</v>
      </c>
      <c r="I53" s="7">
        <v>1224000</v>
      </c>
      <c r="K53" s="7">
        <v>2</v>
      </c>
      <c r="L53" s="7">
        <v>684000</v>
      </c>
      <c r="M53" s="7">
        <v>888000</v>
      </c>
      <c r="N53" s="7">
        <v>1224000</v>
      </c>
      <c r="O53" s="7">
        <v>1224000</v>
      </c>
      <c r="P53" s="7">
        <v>1224000</v>
      </c>
      <c r="Q53" s="7">
        <v>1416000</v>
      </c>
      <c r="R53" s="7">
        <v>1488000</v>
      </c>
      <c r="S53" s="7">
        <v>0</v>
      </c>
      <c r="T53" s="3"/>
      <c r="AD53" s="3"/>
      <c r="AE53" s="3"/>
    </row>
    <row r="54" spans="1:31" ht="12.75">
      <c r="A54" s="7">
        <v>3</v>
      </c>
      <c r="B54" s="7">
        <v>888000</v>
      </c>
      <c r="C54" s="7">
        <v>684000</v>
      </c>
      <c r="D54" s="7">
        <v>0</v>
      </c>
      <c r="E54" s="7">
        <v>1284000</v>
      </c>
      <c r="F54" s="7">
        <v>1572000</v>
      </c>
      <c r="G54" s="7">
        <v>1488000</v>
      </c>
      <c r="H54" s="7">
        <v>1284000</v>
      </c>
      <c r="I54" s="7">
        <v>1284000</v>
      </c>
      <c r="K54" s="7">
        <v>3</v>
      </c>
      <c r="L54" s="7">
        <v>684000</v>
      </c>
      <c r="M54" s="7">
        <v>888000</v>
      </c>
      <c r="N54" s="7">
        <v>1284000</v>
      </c>
      <c r="O54" s="7">
        <v>1284000</v>
      </c>
      <c r="P54" s="7">
        <v>1284000</v>
      </c>
      <c r="Q54" s="7">
        <v>1488000</v>
      </c>
      <c r="R54" s="7">
        <v>1572000</v>
      </c>
      <c r="S54" s="7">
        <v>0</v>
      </c>
      <c r="T54" s="3"/>
      <c r="AD54" s="3"/>
      <c r="AE54" s="3"/>
    </row>
    <row r="55" spans="1:31" ht="12.75">
      <c r="A55" s="7">
        <v>4</v>
      </c>
      <c r="B55" s="7">
        <v>936000</v>
      </c>
      <c r="C55" s="7">
        <v>720000</v>
      </c>
      <c r="D55" s="7">
        <v>0</v>
      </c>
      <c r="E55" s="7">
        <v>1284000</v>
      </c>
      <c r="F55" s="7">
        <v>1572000</v>
      </c>
      <c r="G55" s="7">
        <v>1488000</v>
      </c>
      <c r="H55" s="7">
        <v>1284000</v>
      </c>
      <c r="I55" s="7">
        <v>1284000</v>
      </c>
      <c r="K55" s="7">
        <v>4</v>
      </c>
      <c r="L55" s="7">
        <v>720000</v>
      </c>
      <c r="M55" s="7">
        <v>936000</v>
      </c>
      <c r="N55" s="7">
        <v>1284000</v>
      </c>
      <c r="O55" s="7">
        <v>1284000</v>
      </c>
      <c r="P55" s="7">
        <v>1284000</v>
      </c>
      <c r="Q55" s="7">
        <v>1488000</v>
      </c>
      <c r="R55" s="7">
        <v>1572000</v>
      </c>
      <c r="S55" s="7">
        <v>0</v>
      </c>
      <c r="T55" s="3"/>
      <c r="AD55" s="3"/>
      <c r="AE55" s="3"/>
    </row>
    <row r="56" spans="1:19" ht="12.75">
      <c r="A56" s="7">
        <v>5</v>
      </c>
      <c r="B56" s="7">
        <v>936000</v>
      </c>
      <c r="C56" s="7">
        <v>720000</v>
      </c>
      <c r="D56" s="7">
        <v>0</v>
      </c>
      <c r="E56" s="7">
        <v>1356000</v>
      </c>
      <c r="F56" s="7">
        <v>1644000</v>
      </c>
      <c r="G56" s="7">
        <v>1572000</v>
      </c>
      <c r="H56" s="7">
        <v>1356000</v>
      </c>
      <c r="I56" s="7">
        <v>1356000</v>
      </c>
      <c r="J56" s="285"/>
      <c r="K56" s="7">
        <v>5</v>
      </c>
      <c r="L56" s="7">
        <v>720000</v>
      </c>
      <c r="M56" s="7">
        <v>936000</v>
      </c>
      <c r="N56" s="7">
        <v>1356000</v>
      </c>
      <c r="O56" s="7">
        <v>1356000</v>
      </c>
      <c r="P56" s="7">
        <v>1356000</v>
      </c>
      <c r="Q56" s="7">
        <v>1572000</v>
      </c>
      <c r="R56" s="7">
        <v>1644000</v>
      </c>
      <c r="S56" s="7">
        <v>0</v>
      </c>
    </row>
    <row r="57" spans="1:19" ht="12.75">
      <c r="A57" s="7">
        <v>6</v>
      </c>
      <c r="B57" s="7">
        <v>996000</v>
      </c>
      <c r="C57" s="7">
        <v>768000</v>
      </c>
      <c r="D57" s="7">
        <v>0</v>
      </c>
      <c r="E57" s="7">
        <v>1356000</v>
      </c>
      <c r="F57" s="7">
        <v>1644000</v>
      </c>
      <c r="G57" s="7">
        <v>1572000</v>
      </c>
      <c r="H57" s="7">
        <v>1356000</v>
      </c>
      <c r="I57" s="7">
        <v>1356000</v>
      </c>
      <c r="J57" s="285"/>
      <c r="K57" s="7">
        <v>6</v>
      </c>
      <c r="L57" s="7">
        <v>768000</v>
      </c>
      <c r="M57" s="7">
        <v>996000</v>
      </c>
      <c r="N57" s="7">
        <v>1356000</v>
      </c>
      <c r="O57" s="7">
        <v>1356000</v>
      </c>
      <c r="P57" s="7">
        <v>1356000</v>
      </c>
      <c r="Q57" s="7">
        <v>1572000</v>
      </c>
      <c r="R57" s="7">
        <v>1644000</v>
      </c>
      <c r="S57" s="7">
        <v>0</v>
      </c>
    </row>
    <row r="58" spans="1:19" ht="19.5" customHeight="1">
      <c r="A58" s="7">
        <v>7</v>
      </c>
      <c r="B58" s="7">
        <v>996000</v>
      </c>
      <c r="C58" s="7">
        <v>768000</v>
      </c>
      <c r="D58" s="7">
        <v>0</v>
      </c>
      <c r="E58" s="7">
        <v>1416000</v>
      </c>
      <c r="F58" s="7">
        <v>1728000</v>
      </c>
      <c r="G58" s="7">
        <v>1644000</v>
      </c>
      <c r="H58" s="7">
        <v>1416000</v>
      </c>
      <c r="I58" s="7">
        <v>1416000</v>
      </c>
      <c r="J58" s="285"/>
      <c r="K58" s="7">
        <v>7</v>
      </c>
      <c r="L58" s="7">
        <v>768000</v>
      </c>
      <c r="M58" s="7">
        <v>996000</v>
      </c>
      <c r="N58" s="7">
        <v>1416000</v>
      </c>
      <c r="O58" s="7">
        <v>1416000</v>
      </c>
      <c r="P58" s="7">
        <v>1416000</v>
      </c>
      <c r="Q58" s="7">
        <v>1644000</v>
      </c>
      <c r="R58" s="7">
        <v>1728000</v>
      </c>
      <c r="S58" s="7">
        <v>0</v>
      </c>
    </row>
    <row r="59" spans="1:19" ht="12.75">
      <c r="A59" s="7">
        <v>8</v>
      </c>
      <c r="B59" s="7">
        <v>1056000</v>
      </c>
      <c r="C59" s="7">
        <v>804000</v>
      </c>
      <c r="D59" s="7">
        <v>0</v>
      </c>
      <c r="E59" s="7">
        <v>1416000</v>
      </c>
      <c r="F59" s="7">
        <v>1728000</v>
      </c>
      <c r="G59" s="7">
        <v>1644000</v>
      </c>
      <c r="H59" s="7">
        <v>1416000</v>
      </c>
      <c r="I59" s="7">
        <v>1416000</v>
      </c>
      <c r="J59" s="285"/>
      <c r="K59" s="7">
        <v>8</v>
      </c>
      <c r="L59" s="7">
        <v>804000</v>
      </c>
      <c r="M59" s="7">
        <v>1056000</v>
      </c>
      <c r="N59" s="7">
        <v>1416000</v>
      </c>
      <c r="O59" s="7">
        <v>1416000</v>
      </c>
      <c r="P59" s="7">
        <v>1416000</v>
      </c>
      <c r="Q59" s="7">
        <v>1644000</v>
      </c>
      <c r="R59" s="7">
        <v>1728000</v>
      </c>
      <c r="S59" s="7">
        <v>0</v>
      </c>
    </row>
    <row r="60" spans="1:19" ht="12.75">
      <c r="A60" s="7">
        <v>9</v>
      </c>
      <c r="B60" s="7">
        <v>1056000</v>
      </c>
      <c r="C60" s="7">
        <v>804000</v>
      </c>
      <c r="D60" s="7">
        <v>0</v>
      </c>
      <c r="E60" s="7">
        <v>1488000</v>
      </c>
      <c r="F60" s="7">
        <v>1812000</v>
      </c>
      <c r="G60" s="7">
        <v>1728000</v>
      </c>
      <c r="H60" s="7">
        <v>1488000</v>
      </c>
      <c r="I60" s="7">
        <v>1488000</v>
      </c>
      <c r="J60" s="285"/>
      <c r="K60" s="7">
        <v>9</v>
      </c>
      <c r="L60" s="7">
        <v>804000</v>
      </c>
      <c r="M60" s="7">
        <v>1056000</v>
      </c>
      <c r="N60" s="7">
        <v>1488000</v>
      </c>
      <c r="O60" s="7">
        <v>1488000</v>
      </c>
      <c r="P60" s="7">
        <v>1488000</v>
      </c>
      <c r="Q60" s="7">
        <v>1728000</v>
      </c>
      <c r="R60" s="7">
        <v>1812000</v>
      </c>
      <c r="S60" s="7">
        <v>0</v>
      </c>
    </row>
    <row r="61" spans="1:19" ht="12.75">
      <c r="A61" s="7">
        <v>10</v>
      </c>
      <c r="B61" s="7">
        <v>1104000</v>
      </c>
      <c r="C61" s="7">
        <v>852000</v>
      </c>
      <c r="D61" s="7">
        <v>0</v>
      </c>
      <c r="E61" s="7">
        <v>1488000</v>
      </c>
      <c r="F61" s="7">
        <v>1812000</v>
      </c>
      <c r="G61" s="7">
        <v>1728000</v>
      </c>
      <c r="H61" s="7">
        <v>1488000</v>
      </c>
      <c r="I61" s="7">
        <v>1488000</v>
      </c>
      <c r="J61" s="285"/>
      <c r="K61" s="7">
        <v>10</v>
      </c>
      <c r="L61" s="7">
        <v>852000</v>
      </c>
      <c r="M61" s="7">
        <v>1104000</v>
      </c>
      <c r="N61" s="7">
        <v>1488000</v>
      </c>
      <c r="O61" s="7">
        <v>1488000</v>
      </c>
      <c r="P61" s="7">
        <v>1488000</v>
      </c>
      <c r="Q61" s="7">
        <v>1728000</v>
      </c>
      <c r="R61" s="7">
        <v>1812000</v>
      </c>
      <c r="S61" s="7">
        <v>0</v>
      </c>
    </row>
    <row r="62" spans="1:19" ht="12.75">
      <c r="A62" s="7">
        <v>11</v>
      </c>
      <c r="B62" s="7">
        <v>1104000</v>
      </c>
      <c r="C62" s="7">
        <v>852000</v>
      </c>
      <c r="D62" s="7">
        <v>0</v>
      </c>
      <c r="E62" s="7">
        <v>1572000</v>
      </c>
      <c r="F62" s="7">
        <v>1908000</v>
      </c>
      <c r="G62" s="7">
        <v>1812000</v>
      </c>
      <c r="H62" s="7">
        <v>1572000</v>
      </c>
      <c r="I62" s="7">
        <v>1572000</v>
      </c>
      <c r="J62" s="285"/>
      <c r="K62" s="7">
        <v>11</v>
      </c>
      <c r="L62" s="7">
        <v>852000</v>
      </c>
      <c r="M62" s="7">
        <v>1104000</v>
      </c>
      <c r="N62" s="7">
        <v>1572000</v>
      </c>
      <c r="O62" s="7">
        <v>1572000</v>
      </c>
      <c r="P62" s="7">
        <v>1572000</v>
      </c>
      <c r="Q62" s="7">
        <v>1812000</v>
      </c>
      <c r="R62" s="7">
        <v>1908000</v>
      </c>
      <c r="S62" s="7">
        <v>0</v>
      </c>
    </row>
    <row r="63" spans="1:19" ht="12.75">
      <c r="A63" s="7">
        <v>12</v>
      </c>
      <c r="B63" s="7">
        <v>1152000</v>
      </c>
      <c r="C63" s="7">
        <v>888000</v>
      </c>
      <c r="D63" s="7">
        <v>0</v>
      </c>
      <c r="E63" s="7">
        <v>1572000</v>
      </c>
      <c r="F63" s="7">
        <v>1908000</v>
      </c>
      <c r="G63" s="7">
        <v>1812000</v>
      </c>
      <c r="H63" s="7">
        <v>1572000</v>
      </c>
      <c r="I63" s="7">
        <v>1572000</v>
      </c>
      <c r="J63" s="285"/>
      <c r="K63" s="7">
        <v>12</v>
      </c>
      <c r="L63" s="7">
        <v>888000</v>
      </c>
      <c r="M63" s="7">
        <v>1152000</v>
      </c>
      <c r="N63" s="7">
        <v>1572000</v>
      </c>
      <c r="O63" s="7">
        <v>1572000</v>
      </c>
      <c r="P63" s="7">
        <v>1572000</v>
      </c>
      <c r="Q63" s="7">
        <v>1812000</v>
      </c>
      <c r="R63" s="7">
        <v>1908000</v>
      </c>
      <c r="S63" s="7">
        <v>0</v>
      </c>
    </row>
    <row r="64" spans="1:19" ht="12.75">
      <c r="A64" s="7">
        <v>13</v>
      </c>
      <c r="B64" s="7">
        <v>1152000</v>
      </c>
      <c r="C64" s="7">
        <v>888000</v>
      </c>
      <c r="D64" s="7">
        <v>0</v>
      </c>
      <c r="E64" s="7">
        <v>1644000</v>
      </c>
      <c r="F64" s="7">
        <v>2004000</v>
      </c>
      <c r="G64" s="7">
        <v>1908000</v>
      </c>
      <c r="H64" s="7">
        <v>1644000</v>
      </c>
      <c r="I64" s="7">
        <v>1644000</v>
      </c>
      <c r="J64" s="285"/>
      <c r="K64" s="7">
        <v>13</v>
      </c>
      <c r="L64" s="7">
        <v>888000</v>
      </c>
      <c r="M64" s="7">
        <v>1152000</v>
      </c>
      <c r="N64" s="7">
        <v>1644000</v>
      </c>
      <c r="O64" s="7">
        <v>1644000</v>
      </c>
      <c r="P64" s="7">
        <v>1644000</v>
      </c>
      <c r="Q64" s="7">
        <v>1908000</v>
      </c>
      <c r="R64" s="7">
        <v>2004000</v>
      </c>
      <c r="S64" s="7">
        <v>0</v>
      </c>
    </row>
    <row r="65" spans="1:19" ht="12.75">
      <c r="A65" s="7">
        <v>14</v>
      </c>
      <c r="B65" s="7">
        <v>1200000</v>
      </c>
      <c r="C65" s="7">
        <v>924000</v>
      </c>
      <c r="D65" s="7">
        <v>0</v>
      </c>
      <c r="E65" s="7">
        <v>1644000</v>
      </c>
      <c r="F65" s="7">
        <v>2004000</v>
      </c>
      <c r="G65" s="7">
        <v>1908000</v>
      </c>
      <c r="H65" s="7">
        <v>1644000</v>
      </c>
      <c r="I65" s="7">
        <v>1644000</v>
      </c>
      <c r="J65" s="285"/>
      <c r="K65" s="7">
        <v>14</v>
      </c>
      <c r="L65" s="7">
        <v>924000</v>
      </c>
      <c r="M65" s="7">
        <v>1200000</v>
      </c>
      <c r="N65" s="7">
        <v>1644000</v>
      </c>
      <c r="O65" s="7">
        <v>1644000</v>
      </c>
      <c r="P65" s="7">
        <v>1644000</v>
      </c>
      <c r="Q65" s="7">
        <v>1908000</v>
      </c>
      <c r="R65" s="7">
        <v>2004000</v>
      </c>
      <c r="S65" s="7">
        <v>0</v>
      </c>
    </row>
    <row r="66" spans="1:19" ht="12.75">
      <c r="A66" s="7">
        <v>15</v>
      </c>
      <c r="B66" s="7">
        <v>1200000</v>
      </c>
      <c r="C66" s="7">
        <v>924000</v>
      </c>
      <c r="D66" s="7">
        <v>0</v>
      </c>
      <c r="E66" s="7">
        <v>1728000</v>
      </c>
      <c r="F66" s="7">
        <v>2112000</v>
      </c>
      <c r="G66" s="7">
        <v>2004000</v>
      </c>
      <c r="H66" s="7">
        <v>1728000</v>
      </c>
      <c r="I66" s="7">
        <v>1728000</v>
      </c>
      <c r="J66" s="285"/>
      <c r="K66" s="7">
        <v>15</v>
      </c>
      <c r="L66" s="7">
        <v>924000</v>
      </c>
      <c r="M66" s="7">
        <v>1200000</v>
      </c>
      <c r="N66" s="7">
        <v>1728000</v>
      </c>
      <c r="O66" s="7">
        <v>1728000</v>
      </c>
      <c r="P66" s="7">
        <v>1728000</v>
      </c>
      <c r="Q66" s="7">
        <v>2004000</v>
      </c>
      <c r="R66" s="7">
        <v>2112000</v>
      </c>
      <c r="S66" s="7">
        <v>0</v>
      </c>
    </row>
    <row r="67" spans="1:19" ht="12.75">
      <c r="A67" s="7">
        <v>16</v>
      </c>
      <c r="B67" s="7">
        <v>1260000</v>
      </c>
      <c r="C67" s="7">
        <v>960000</v>
      </c>
      <c r="D67" s="7">
        <v>0</v>
      </c>
      <c r="E67" s="7">
        <v>1728000</v>
      </c>
      <c r="F67" s="7">
        <v>2112000</v>
      </c>
      <c r="G67" s="7">
        <v>2004000</v>
      </c>
      <c r="H67" s="7">
        <v>1728000</v>
      </c>
      <c r="I67" s="7">
        <v>1728000</v>
      </c>
      <c r="J67" s="285"/>
      <c r="K67" s="7">
        <v>16</v>
      </c>
      <c r="L67" s="7">
        <v>960000</v>
      </c>
      <c r="M67" s="7">
        <v>1260000</v>
      </c>
      <c r="N67" s="7">
        <v>1728000</v>
      </c>
      <c r="O67" s="7">
        <v>1728000</v>
      </c>
      <c r="P67" s="7">
        <v>1728000</v>
      </c>
      <c r="Q67" s="7">
        <v>2004000</v>
      </c>
      <c r="R67" s="7">
        <v>2112000</v>
      </c>
      <c r="S67" s="7">
        <v>0</v>
      </c>
    </row>
    <row r="68" spans="1:19" ht="12.75">
      <c r="A68" s="7">
        <v>17</v>
      </c>
      <c r="B68" s="7">
        <v>1260000</v>
      </c>
      <c r="C68" s="7">
        <v>960000</v>
      </c>
      <c r="D68" s="7">
        <v>0</v>
      </c>
      <c r="E68" s="7">
        <v>1824000</v>
      </c>
      <c r="F68" s="7">
        <v>2352000</v>
      </c>
      <c r="G68" s="7">
        <v>2112000</v>
      </c>
      <c r="H68" s="7">
        <v>1824000</v>
      </c>
      <c r="I68" s="7">
        <v>1824000</v>
      </c>
      <c r="J68" s="285"/>
      <c r="K68" s="7">
        <v>17</v>
      </c>
      <c r="L68" s="7">
        <v>960000</v>
      </c>
      <c r="M68" s="7">
        <v>1260000</v>
      </c>
      <c r="N68" s="7">
        <v>1824000</v>
      </c>
      <c r="O68" s="7">
        <v>1824000</v>
      </c>
      <c r="P68" s="7">
        <v>1824000</v>
      </c>
      <c r="Q68" s="7">
        <v>2112000</v>
      </c>
      <c r="R68" s="7">
        <v>2352000</v>
      </c>
      <c r="S68" s="7">
        <v>0</v>
      </c>
    </row>
    <row r="69" spans="1:19" ht="24.75" customHeight="1">
      <c r="A69" s="7">
        <v>18</v>
      </c>
      <c r="B69" s="7">
        <v>1308000</v>
      </c>
      <c r="C69" s="7">
        <v>996000</v>
      </c>
      <c r="D69" s="7">
        <v>0</v>
      </c>
      <c r="E69" s="7">
        <v>1824000</v>
      </c>
      <c r="F69" s="7">
        <v>2412000</v>
      </c>
      <c r="G69" s="7">
        <v>2220000</v>
      </c>
      <c r="H69" s="7">
        <v>1824000</v>
      </c>
      <c r="I69" s="7">
        <v>1824000</v>
      </c>
      <c r="J69" s="285"/>
      <c r="K69" s="7">
        <v>18</v>
      </c>
      <c r="L69" s="7">
        <v>996000</v>
      </c>
      <c r="M69" s="7">
        <v>1308000</v>
      </c>
      <c r="N69" s="7">
        <v>1824000</v>
      </c>
      <c r="O69" s="7">
        <v>1824000</v>
      </c>
      <c r="P69" s="7">
        <v>1824000</v>
      </c>
      <c r="Q69" s="7">
        <v>2220000</v>
      </c>
      <c r="R69" s="7">
        <v>2412000</v>
      </c>
      <c r="S69" s="7">
        <v>0</v>
      </c>
    </row>
    <row r="70" spans="1:19" ht="12.75">
      <c r="A70" s="7">
        <v>19</v>
      </c>
      <c r="B70" s="7">
        <v>1308000</v>
      </c>
      <c r="C70" s="7">
        <v>996000</v>
      </c>
      <c r="D70" s="7">
        <v>0</v>
      </c>
      <c r="E70" s="7">
        <v>1908000</v>
      </c>
      <c r="F70" s="7">
        <v>2412000</v>
      </c>
      <c r="G70" s="7">
        <v>2220000</v>
      </c>
      <c r="H70" s="7">
        <v>1908000</v>
      </c>
      <c r="I70" s="7">
        <v>1908000</v>
      </c>
      <c r="J70" s="285"/>
      <c r="K70" s="7">
        <v>19</v>
      </c>
      <c r="L70" s="7">
        <v>996000</v>
      </c>
      <c r="M70" s="7">
        <v>1308000</v>
      </c>
      <c r="N70" s="7">
        <v>1908000</v>
      </c>
      <c r="O70" s="7">
        <v>1908000</v>
      </c>
      <c r="P70" s="7">
        <v>1908000</v>
      </c>
      <c r="Q70" s="7">
        <v>2220000</v>
      </c>
      <c r="R70" s="7">
        <v>2412000</v>
      </c>
      <c r="S70" s="7">
        <v>0</v>
      </c>
    </row>
    <row r="71" spans="1:19" ht="12.75">
      <c r="A71" s="7">
        <v>20</v>
      </c>
      <c r="B71" s="7">
        <v>1356000</v>
      </c>
      <c r="C71" s="7">
        <v>1044000</v>
      </c>
      <c r="D71" s="7">
        <v>0</v>
      </c>
      <c r="E71" s="7">
        <v>2076000</v>
      </c>
      <c r="F71" s="7">
        <v>2496000</v>
      </c>
      <c r="G71" s="7">
        <v>2280000</v>
      </c>
      <c r="H71" s="7">
        <v>1908000</v>
      </c>
      <c r="I71" s="7">
        <v>1908000</v>
      </c>
      <c r="J71" s="285"/>
      <c r="K71" s="7">
        <v>20</v>
      </c>
      <c r="L71" s="7">
        <v>1044000</v>
      </c>
      <c r="M71" s="7">
        <v>1356000</v>
      </c>
      <c r="N71" s="7">
        <v>1908000</v>
      </c>
      <c r="O71" s="7">
        <v>1908000</v>
      </c>
      <c r="P71" s="7">
        <v>2076000</v>
      </c>
      <c r="Q71" s="7">
        <v>2280000</v>
      </c>
      <c r="R71" s="7">
        <v>2496000</v>
      </c>
      <c r="S71" s="7">
        <v>0</v>
      </c>
    </row>
    <row r="72" spans="1:19" ht="12.75">
      <c r="A72" s="7">
        <v>21</v>
      </c>
      <c r="B72" s="7">
        <v>1356000</v>
      </c>
      <c r="C72" s="7">
        <v>1044000</v>
      </c>
      <c r="D72" s="7">
        <v>0</v>
      </c>
      <c r="E72" s="7">
        <v>2076000</v>
      </c>
      <c r="F72" s="7">
        <v>2496000</v>
      </c>
      <c r="G72" s="7">
        <v>2280000</v>
      </c>
      <c r="H72" s="7">
        <v>1968000</v>
      </c>
      <c r="I72" s="7">
        <v>1968000</v>
      </c>
      <c r="J72" s="285"/>
      <c r="K72" s="7">
        <v>21</v>
      </c>
      <c r="L72" s="7">
        <v>1044000</v>
      </c>
      <c r="M72" s="7">
        <v>1356000</v>
      </c>
      <c r="N72" s="7">
        <v>1968000</v>
      </c>
      <c r="O72" s="7">
        <v>1968000</v>
      </c>
      <c r="P72" s="7">
        <v>2076000</v>
      </c>
      <c r="Q72" s="7">
        <v>2280000</v>
      </c>
      <c r="R72" s="7">
        <v>2496000</v>
      </c>
      <c r="S72" s="7">
        <v>0</v>
      </c>
    </row>
    <row r="73" spans="1:19" ht="12.75">
      <c r="A73" s="7">
        <v>22</v>
      </c>
      <c r="B73" s="7">
        <v>1380000</v>
      </c>
      <c r="C73" s="7">
        <v>1056000</v>
      </c>
      <c r="D73" s="7">
        <v>0</v>
      </c>
      <c r="E73" s="7">
        <v>2136000</v>
      </c>
      <c r="F73" s="7">
        <v>2544000</v>
      </c>
      <c r="G73" s="7">
        <v>2352000</v>
      </c>
      <c r="H73" s="7">
        <v>1968000</v>
      </c>
      <c r="I73" s="7">
        <v>1968000</v>
      </c>
      <c r="J73" s="285"/>
      <c r="K73" s="7">
        <v>22</v>
      </c>
      <c r="L73" s="7">
        <v>1056000</v>
      </c>
      <c r="M73" s="7">
        <v>1380000</v>
      </c>
      <c r="N73" s="7">
        <v>1968000</v>
      </c>
      <c r="O73" s="7">
        <v>1968000</v>
      </c>
      <c r="P73" s="7">
        <v>2136000</v>
      </c>
      <c r="Q73" s="7">
        <v>2352000</v>
      </c>
      <c r="R73" s="7">
        <v>2544000</v>
      </c>
      <c r="S73" s="7">
        <v>0</v>
      </c>
    </row>
    <row r="74" spans="1:19" ht="12.75">
      <c r="A74" s="7">
        <v>23</v>
      </c>
      <c r="B74" s="7">
        <v>1380000</v>
      </c>
      <c r="C74" s="7">
        <v>1056000</v>
      </c>
      <c r="D74" s="7">
        <v>0</v>
      </c>
      <c r="E74" s="7">
        <v>2136000</v>
      </c>
      <c r="F74" s="7">
        <v>2544000</v>
      </c>
      <c r="G74" s="7">
        <v>2352000</v>
      </c>
      <c r="H74" s="7">
        <v>2028000</v>
      </c>
      <c r="I74" s="7">
        <v>2028000</v>
      </c>
      <c r="J74" s="285"/>
      <c r="K74" s="7">
        <v>23</v>
      </c>
      <c r="L74" s="7">
        <v>1056000</v>
      </c>
      <c r="M74" s="7">
        <v>1380000</v>
      </c>
      <c r="N74" s="7">
        <v>2028000</v>
      </c>
      <c r="O74" s="7">
        <v>2028000</v>
      </c>
      <c r="P74" s="7">
        <v>2136000</v>
      </c>
      <c r="Q74" s="7">
        <v>2352000</v>
      </c>
      <c r="R74" s="7">
        <v>2544000</v>
      </c>
      <c r="S74" s="7">
        <v>0</v>
      </c>
    </row>
    <row r="75" spans="1:19" ht="12.75">
      <c r="A75" s="7">
        <v>24</v>
      </c>
      <c r="B75" s="7">
        <v>1416000</v>
      </c>
      <c r="C75" s="7">
        <v>1080000</v>
      </c>
      <c r="D75" s="7">
        <v>0</v>
      </c>
      <c r="E75" s="7">
        <v>2196000</v>
      </c>
      <c r="F75" s="7">
        <v>2616000</v>
      </c>
      <c r="G75" s="7">
        <v>2412000</v>
      </c>
      <c r="H75" s="7">
        <v>2076000</v>
      </c>
      <c r="I75" s="7">
        <v>2076000</v>
      </c>
      <c r="J75" s="285"/>
      <c r="K75" s="7">
        <v>24</v>
      </c>
      <c r="L75" s="7">
        <v>1080000</v>
      </c>
      <c r="M75" s="7">
        <v>1416000</v>
      </c>
      <c r="N75" s="7">
        <v>2076000</v>
      </c>
      <c r="O75" s="7">
        <v>2076000</v>
      </c>
      <c r="P75" s="7">
        <v>2196000</v>
      </c>
      <c r="Q75" s="7">
        <v>2412000</v>
      </c>
      <c r="R75" s="7">
        <v>2616000</v>
      </c>
      <c r="S75" s="7">
        <v>0</v>
      </c>
    </row>
    <row r="76" spans="1:19" ht="12.75">
      <c r="A76" s="7">
        <v>25</v>
      </c>
      <c r="B76" s="7">
        <v>1416000</v>
      </c>
      <c r="C76" s="7">
        <v>1080000</v>
      </c>
      <c r="D76" s="7">
        <v>0</v>
      </c>
      <c r="E76" s="7">
        <v>2196000</v>
      </c>
      <c r="F76" s="7">
        <v>2616000</v>
      </c>
      <c r="G76" s="7">
        <v>2412000</v>
      </c>
      <c r="H76" s="7">
        <v>2076000</v>
      </c>
      <c r="I76" s="7">
        <v>2076000</v>
      </c>
      <c r="J76" s="285"/>
      <c r="K76" s="7">
        <v>25</v>
      </c>
      <c r="L76" s="7">
        <v>1080000</v>
      </c>
      <c r="M76" s="7">
        <v>1416000</v>
      </c>
      <c r="N76" s="7">
        <v>2076000</v>
      </c>
      <c r="O76" s="7">
        <v>2076000</v>
      </c>
      <c r="P76" s="7">
        <v>2196000</v>
      </c>
      <c r="Q76" s="7">
        <v>2412000</v>
      </c>
      <c r="R76" s="7">
        <v>2616000</v>
      </c>
      <c r="S76" s="7">
        <v>0</v>
      </c>
    </row>
    <row r="77" spans="1:19" ht="12.75">
      <c r="A77" s="7">
        <v>26</v>
      </c>
      <c r="B77" s="7">
        <v>1440000</v>
      </c>
      <c r="C77" s="7">
        <v>1104000</v>
      </c>
      <c r="D77" s="7">
        <v>0</v>
      </c>
      <c r="E77" s="7">
        <v>2256000</v>
      </c>
      <c r="F77" s="7">
        <v>2676000</v>
      </c>
      <c r="G77" s="7">
        <v>2496000</v>
      </c>
      <c r="H77" s="7">
        <v>2136000</v>
      </c>
      <c r="I77" s="7">
        <v>2136000</v>
      </c>
      <c r="J77" s="285"/>
      <c r="K77" s="7">
        <v>26</v>
      </c>
      <c r="L77" s="7">
        <v>1104000</v>
      </c>
      <c r="M77" s="7">
        <v>1440000</v>
      </c>
      <c r="N77" s="7">
        <v>2136000</v>
      </c>
      <c r="O77" s="7">
        <v>2136000</v>
      </c>
      <c r="P77" s="7">
        <v>2256000</v>
      </c>
      <c r="Q77" s="7">
        <v>2496000</v>
      </c>
      <c r="R77" s="7">
        <v>2676000</v>
      </c>
      <c r="S77" s="7">
        <v>0</v>
      </c>
    </row>
    <row r="78" spans="1:19" ht="12.75">
      <c r="A78" s="7">
        <v>27</v>
      </c>
      <c r="B78" s="7">
        <v>1440000</v>
      </c>
      <c r="C78" s="7">
        <v>1104000</v>
      </c>
      <c r="D78" s="7">
        <v>0</v>
      </c>
      <c r="E78" s="7">
        <v>2256000</v>
      </c>
      <c r="F78" s="7">
        <v>2676000</v>
      </c>
      <c r="G78" s="7">
        <v>2496000</v>
      </c>
      <c r="H78" s="7">
        <v>2136000</v>
      </c>
      <c r="I78" s="7">
        <v>2136000</v>
      </c>
      <c r="J78" s="285"/>
      <c r="K78" s="7">
        <v>27</v>
      </c>
      <c r="L78" s="7">
        <v>1104000</v>
      </c>
      <c r="M78" s="7">
        <v>1440000</v>
      </c>
      <c r="N78" s="7">
        <v>2136000</v>
      </c>
      <c r="O78" s="7">
        <v>2136000</v>
      </c>
      <c r="P78" s="7">
        <v>2256000</v>
      </c>
      <c r="Q78" s="7">
        <v>2496000</v>
      </c>
      <c r="R78" s="7">
        <v>2676000</v>
      </c>
      <c r="S78" s="7">
        <v>0</v>
      </c>
    </row>
    <row r="79" spans="1:19" ht="12" customHeight="1">
      <c r="A79" s="7">
        <v>28</v>
      </c>
      <c r="B79" s="7">
        <v>1464000</v>
      </c>
      <c r="C79" s="7">
        <v>1128000</v>
      </c>
      <c r="D79" s="7">
        <v>0</v>
      </c>
      <c r="E79" s="7">
        <v>2304000</v>
      </c>
      <c r="F79" s="7">
        <v>2748000</v>
      </c>
      <c r="G79" s="7">
        <v>2544000</v>
      </c>
      <c r="H79" s="7">
        <v>2196000</v>
      </c>
      <c r="I79" s="7">
        <v>2196000</v>
      </c>
      <c r="J79" s="285"/>
      <c r="K79" s="7">
        <v>28</v>
      </c>
      <c r="L79" s="7">
        <v>1128000</v>
      </c>
      <c r="M79" s="7">
        <v>1464000</v>
      </c>
      <c r="N79" s="7">
        <v>2196000</v>
      </c>
      <c r="O79" s="7">
        <v>2196000</v>
      </c>
      <c r="P79" s="7">
        <v>2304000</v>
      </c>
      <c r="Q79" s="7">
        <v>2544000</v>
      </c>
      <c r="R79" s="7">
        <v>2748000</v>
      </c>
      <c r="S79" s="7">
        <v>0</v>
      </c>
    </row>
    <row r="80" spans="1:19" ht="12.75">
      <c r="A80" s="7">
        <v>29</v>
      </c>
      <c r="B80" s="7">
        <v>1464000</v>
      </c>
      <c r="C80" s="7">
        <v>1128000</v>
      </c>
      <c r="D80" s="7">
        <v>0</v>
      </c>
      <c r="E80" s="7">
        <v>2304000</v>
      </c>
      <c r="F80" s="7">
        <v>2748000</v>
      </c>
      <c r="G80" s="7">
        <v>2544000</v>
      </c>
      <c r="H80" s="7">
        <v>2196000</v>
      </c>
      <c r="I80" s="7">
        <v>2196000</v>
      </c>
      <c r="J80" s="285"/>
      <c r="K80" s="7">
        <v>29</v>
      </c>
      <c r="L80" s="7">
        <v>1128000</v>
      </c>
      <c r="M80" s="7">
        <v>1464000</v>
      </c>
      <c r="N80" s="7">
        <v>2196000</v>
      </c>
      <c r="O80" s="7">
        <v>2196000</v>
      </c>
      <c r="P80" s="7">
        <v>2304000</v>
      </c>
      <c r="Q80" s="7">
        <v>2544000</v>
      </c>
      <c r="R80" s="7">
        <v>2748000</v>
      </c>
      <c r="S80" s="7">
        <v>0</v>
      </c>
    </row>
    <row r="81" spans="1:19" ht="12.75">
      <c r="A81" s="7">
        <v>30</v>
      </c>
      <c r="B81" s="7">
        <v>1488000</v>
      </c>
      <c r="C81" s="7">
        <v>1140000</v>
      </c>
      <c r="D81" s="7">
        <v>0</v>
      </c>
      <c r="E81" s="7">
        <v>2364000</v>
      </c>
      <c r="F81" s="7">
        <v>2808000</v>
      </c>
      <c r="G81" s="7">
        <v>2616000</v>
      </c>
      <c r="H81" s="7">
        <v>2256000</v>
      </c>
      <c r="I81" s="7">
        <v>2256000</v>
      </c>
      <c r="J81" s="285"/>
      <c r="K81" s="7">
        <v>30</v>
      </c>
      <c r="L81" s="7">
        <v>1140000</v>
      </c>
      <c r="M81" s="7">
        <v>1488000</v>
      </c>
      <c r="N81" s="7">
        <v>2256000</v>
      </c>
      <c r="O81" s="7">
        <v>2256000</v>
      </c>
      <c r="P81" s="7">
        <v>2364000</v>
      </c>
      <c r="Q81" s="7">
        <v>2616000</v>
      </c>
      <c r="R81" s="7">
        <v>2808000</v>
      </c>
      <c r="S81" s="7">
        <v>0</v>
      </c>
    </row>
    <row r="82" spans="1:19" ht="12.75">
      <c r="A82" s="7">
        <v>31</v>
      </c>
      <c r="B82" s="7">
        <v>1488000</v>
      </c>
      <c r="C82" s="7">
        <v>1140000</v>
      </c>
      <c r="D82" s="7">
        <v>0</v>
      </c>
      <c r="E82" s="7">
        <v>2364000</v>
      </c>
      <c r="F82" s="7">
        <v>2808000</v>
      </c>
      <c r="G82" s="7">
        <v>2616000</v>
      </c>
      <c r="H82" s="7">
        <v>2256000</v>
      </c>
      <c r="I82" s="7">
        <v>2256000</v>
      </c>
      <c r="J82" s="285"/>
      <c r="K82" s="7">
        <v>31</v>
      </c>
      <c r="L82" s="7">
        <v>1140000</v>
      </c>
      <c r="M82" s="7">
        <v>1488000</v>
      </c>
      <c r="N82" s="7">
        <v>2256000</v>
      </c>
      <c r="O82" s="7">
        <v>2256000</v>
      </c>
      <c r="P82" s="7">
        <v>2364000</v>
      </c>
      <c r="Q82" s="7">
        <v>2616000</v>
      </c>
      <c r="R82" s="7">
        <v>2808000</v>
      </c>
      <c r="S82" s="7">
        <v>0</v>
      </c>
    </row>
    <row r="83" spans="1:19" ht="12.75">
      <c r="A83" s="7">
        <v>32</v>
      </c>
      <c r="B83" s="7">
        <v>1524000</v>
      </c>
      <c r="C83" s="7">
        <v>1164000</v>
      </c>
      <c r="D83" s="7">
        <v>0</v>
      </c>
      <c r="E83" s="7">
        <v>2424000</v>
      </c>
      <c r="F83" s="7">
        <v>2880000</v>
      </c>
      <c r="G83" s="7">
        <v>2676000</v>
      </c>
      <c r="H83" s="7">
        <v>2304000</v>
      </c>
      <c r="I83" s="7">
        <v>2304000</v>
      </c>
      <c r="J83" s="285"/>
      <c r="K83" s="7">
        <v>32</v>
      </c>
      <c r="L83" s="7">
        <v>1164000</v>
      </c>
      <c r="M83" s="7">
        <v>1524000</v>
      </c>
      <c r="N83" s="7">
        <v>2304000</v>
      </c>
      <c r="O83" s="7">
        <v>2304000</v>
      </c>
      <c r="P83" s="7">
        <v>2424000</v>
      </c>
      <c r="Q83" s="7">
        <v>2676000</v>
      </c>
      <c r="R83" s="7">
        <v>2880000</v>
      </c>
      <c r="S83" s="7">
        <v>0</v>
      </c>
    </row>
    <row r="84" spans="1:19" ht="12.75">
      <c r="A84" s="7">
        <v>33</v>
      </c>
      <c r="B84" s="7">
        <v>1524000</v>
      </c>
      <c r="C84" s="7">
        <v>1164000</v>
      </c>
      <c r="D84" s="7">
        <v>0</v>
      </c>
      <c r="E84" s="7">
        <v>2424000</v>
      </c>
      <c r="F84" s="7">
        <v>2880000</v>
      </c>
      <c r="G84" s="7">
        <v>2676000</v>
      </c>
      <c r="H84" s="7">
        <v>2304000</v>
      </c>
      <c r="I84" s="7">
        <v>2304000</v>
      </c>
      <c r="J84" s="285"/>
      <c r="K84" s="7">
        <v>33</v>
      </c>
      <c r="L84" s="7">
        <v>1164000</v>
      </c>
      <c r="M84" s="7">
        <v>1524000</v>
      </c>
      <c r="N84" s="7">
        <v>2304000</v>
      </c>
      <c r="O84" s="7">
        <v>2304000</v>
      </c>
      <c r="P84" s="7">
        <v>2424000</v>
      </c>
      <c r="Q84" s="7">
        <v>2676000</v>
      </c>
      <c r="R84" s="7">
        <v>2880000</v>
      </c>
      <c r="S84" s="7">
        <v>0</v>
      </c>
    </row>
    <row r="85" spans="1:19" ht="12.75">
      <c r="A85" s="7">
        <v>34</v>
      </c>
      <c r="B85" s="7">
        <v>1548000</v>
      </c>
      <c r="C85" s="7">
        <v>1188000</v>
      </c>
      <c r="D85" s="7">
        <v>0</v>
      </c>
      <c r="E85" s="7">
        <v>2484000</v>
      </c>
      <c r="F85" s="7">
        <v>2940000</v>
      </c>
      <c r="G85" s="7">
        <v>2748000</v>
      </c>
      <c r="H85" s="7">
        <v>2364000</v>
      </c>
      <c r="I85" s="7">
        <v>2364000</v>
      </c>
      <c r="J85" s="285"/>
      <c r="K85" s="7">
        <v>34</v>
      </c>
      <c r="L85" s="7">
        <v>1188000</v>
      </c>
      <c r="M85" s="7">
        <v>1548000</v>
      </c>
      <c r="N85" s="7">
        <v>2364000</v>
      </c>
      <c r="O85" s="7">
        <v>2364000</v>
      </c>
      <c r="P85" s="7">
        <v>2484000</v>
      </c>
      <c r="Q85" s="7">
        <v>2748000</v>
      </c>
      <c r="R85" s="7">
        <v>2940000</v>
      </c>
      <c r="S85" s="7">
        <v>0</v>
      </c>
    </row>
    <row r="86" spans="1:19" ht="12.75">
      <c r="A86" s="7">
        <v>35</v>
      </c>
      <c r="B86" s="7">
        <v>1548000</v>
      </c>
      <c r="C86" s="7">
        <v>1188000</v>
      </c>
      <c r="D86" s="7">
        <v>0</v>
      </c>
      <c r="E86" s="7">
        <v>2484000</v>
      </c>
      <c r="F86" s="7">
        <v>2940000</v>
      </c>
      <c r="G86" s="7">
        <v>2748000</v>
      </c>
      <c r="H86" s="7">
        <v>2364000</v>
      </c>
      <c r="I86" s="7">
        <v>2364000</v>
      </c>
      <c r="J86" s="285"/>
      <c r="K86" s="7">
        <v>35</v>
      </c>
      <c r="L86" s="7">
        <v>1188000</v>
      </c>
      <c r="M86" s="7">
        <v>1548000</v>
      </c>
      <c r="N86" s="7">
        <v>2364000</v>
      </c>
      <c r="O86" s="7">
        <v>2364000</v>
      </c>
      <c r="P86" s="7">
        <v>2484000</v>
      </c>
      <c r="Q86" s="7">
        <v>2748000</v>
      </c>
      <c r="R86" s="7">
        <v>2940000</v>
      </c>
      <c r="S86" s="7">
        <v>0</v>
      </c>
    </row>
    <row r="87" spans="1:19" ht="12.75">
      <c r="A87" s="7">
        <v>36</v>
      </c>
      <c r="B87" s="7">
        <v>1572000</v>
      </c>
      <c r="C87" s="7">
        <v>1212000</v>
      </c>
      <c r="D87" s="7">
        <v>0</v>
      </c>
      <c r="E87" s="7">
        <v>2544000</v>
      </c>
      <c r="F87" s="7">
        <v>3012000</v>
      </c>
      <c r="G87" s="7">
        <v>2808000</v>
      </c>
      <c r="H87" s="7">
        <v>2424000</v>
      </c>
      <c r="I87" s="7">
        <v>2424000</v>
      </c>
      <c r="J87" s="285"/>
      <c r="K87" s="7">
        <v>36</v>
      </c>
      <c r="L87" s="7">
        <v>1212000</v>
      </c>
      <c r="M87" s="7">
        <v>1572000</v>
      </c>
      <c r="N87" s="7">
        <v>2424000</v>
      </c>
      <c r="O87" s="7">
        <v>2424000</v>
      </c>
      <c r="P87" s="7">
        <v>2544000</v>
      </c>
      <c r="Q87" s="7">
        <v>2808000</v>
      </c>
      <c r="R87" s="7">
        <v>3012000</v>
      </c>
      <c r="S87" s="7">
        <v>0</v>
      </c>
    </row>
    <row r="88" spans="1:19" ht="12.75">
      <c r="A88" s="7">
        <v>37</v>
      </c>
      <c r="B88" s="7">
        <v>1572000</v>
      </c>
      <c r="C88" s="7">
        <v>1212000</v>
      </c>
      <c r="D88" s="7">
        <v>0</v>
      </c>
      <c r="E88" s="7">
        <v>2544000</v>
      </c>
      <c r="F88" s="7">
        <v>3012000</v>
      </c>
      <c r="G88" s="7">
        <v>2808000</v>
      </c>
      <c r="H88" s="7">
        <v>2424000</v>
      </c>
      <c r="I88" s="7">
        <v>2424000</v>
      </c>
      <c r="J88" s="285"/>
      <c r="K88" s="7">
        <v>37</v>
      </c>
      <c r="L88" s="7">
        <v>1212000</v>
      </c>
      <c r="M88" s="7">
        <v>1572000</v>
      </c>
      <c r="N88" s="7">
        <v>2424000</v>
      </c>
      <c r="O88" s="7">
        <v>2424000</v>
      </c>
      <c r="P88" s="7">
        <v>2544000</v>
      </c>
      <c r="Q88" s="7">
        <v>2808000</v>
      </c>
      <c r="R88" s="7">
        <v>3012000</v>
      </c>
      <c r="S88" s="7">
        <v>0</v>
      </c>
    </row>
    <row r="89" spans="1:19" ht="12.75">
      <c r="A89" s="7">
        <v>38</v>
      </c>
      <c r="B89" s="7">
        <v>1596000</v>
      </c>
      <c r="C89" s="7">
        <v>1224000</v>
      </c>
      <c r="D89" s="7">
        <v>0</v>
      </c>
      <c r="E89" s="7">
        <v>2592000</v>
      </c>
      <c r="F89" s="7">
        <v>3072000</v>
      </c>
      <c r="G89" s="7">
        <v>2880000</v>
      </c>
      <c r="H89" s="7">
        <v>2484000</v>
      </c>
      <c r="I89" s="7">
        <v>2484000</v>
      </c>
      <c r="J89" s="285"/>
      <c r="K89" s="7">
        <v>38</v>
      </c>
      <c r="L89" s="7">
        <v>1224000</v>
      </c>
      <c r="M89" s="7">
        <v>1596000</v>
      </c>
      <c r="N89" s="7">
        <v>2484000</v>
      </c>
      <c r="O89" s="7">
        <v>2484000</v>
      </c>
      <c r="P89" s="7">
        <v>2592000</v>
      </c>
      <c r="Q89" s="7">
        <v>2880000</v>
      </c>
      <c r="R89" s="7">
        <v>3072000</v>
      </c>
      <c r="S89" s="7">
        <v>0</v>
      </c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285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">
        <v>39</v>
      </c>
      <c r="B91" s="7">
        <v>1596000</v>
      </c>
      <c r="C91" s="7">
        <v>1224000</v>
      </c>
      <c r="D91" s="7">
        <v>0</v>
      </c>
      <c r="E91" s="7">
        <v>2592000</v>
      </c>
      <c r="F91" s="7">
        <v>3072000</v>
      </c>
      <c r="G91" s="7">
        <v>2880000</v>
      </c>
      <c r="H91" s="7">
        <v>2484000</v>
      </c>
      <c r="I91" s="7">
        <v>2484000</v>
      </c>
      <c r="J91" s="285"/>
      <c r="K91" s="7">
        <v>39</v>
      </c>
      <c r="L91" s="7">
        <v>1224000</v>
      </c>
      <c r="M91" s="7">
        <v>1596000</v>
      </c>
      <c r="N91" s="7">
        <v>2484000</v>
      </c>
      <c r="O91" s="7">
        <v>2484000</v>
      </c>
      <c r="P91" s="7">
        <v>2592000</v>
      </c>
      <c r="Q91" s="7">
        <v>2880000</v>
      </c>
      <c r="R91" s="7">
        <v>3072000</v>
      </c>
      <c r="S91" s="7">
        <v>0</v>
      </c>
    </row>
    <row r="92" spans="1:19" ht="12.75">
      <c r="A92" s="7"/>
      <c r="B92" s="7"/>
      <c r="C92" s="7"/>
      <c r="D92" s="7"/>
      <c r="E92" s="7"/>
      <c r="F92" s="7"/>
      <c r="G92" s="7"/>
      <c r="H92" s="7"/>
      <c r="I92" s="7"/>
      <c r="J92" s="285"/>
      <c r="K92" s="7"/>
      <c r="L92" s="7"/>
      <c r="M92" s="7"/>
      <c r="N92" s="7"/>
      <c r="O92" s="7"/>
      <c r="P92" s="7"/>
      <c r="Q92" s="7"/>
      <c r="R92" s="7"/>
      <c r="S92" s="7"/>
    </row>
    <row r="93" spans="1:19" ht="13.5" thickBot="1">
      <c r="A93" s="7">
        <v>40</v>
      </c>
      <c r="B93" s="7">
        <v>1632000</v>
      </c>
      <c r="C93" s="7">
        <v>1248000</v>
      </c>
      <c r="D93" s="7">
        <v>0</v>
      </c>
      <c r="E93" s="7">
        <v>2652000</v>
      </c>
      <c r="F93" s="7">
        <v>3144000</v>
      </c>
      <c r="G93" s="7">
        <v>2940000</v>
      </c>
      <c r="H93" s="7">
        <v>2544000</v>
      </c>
      <c r="I93" s="7">
        <v>2544000</v>
      </c>
      <c r="J93" s="285"/>
      <c r="K93" s="16">
        <v>40</v>
      </c>
      <c r="L93" s="16">
        <v>1248000</v>
      </c>
      <c r="M93" s="16">
        <v>1632000</v>
      </c>
      <c r="N93" s="16">
        <v>2544000</v>
      </c>
      <c r="O93" s="16">
        <v>2544000</v>
      </c>
      <c r="P93" s="16">
        <v>2652000</v>
      </c>
      <c r="Q93" s="16">
        <v>2940000</v>
      </c>
      <c r="R93" s="16">
        <v>3144000</v>
      </c>
      <c r="S93" s="16">
        <v>0</v>
      </c>
    </row>
    <row r="94" spans="1:19" ht="12.75">
      <c r="A94" s="7" t="s">
        <v>172</v>
      </c>
      <c r="B94" s="7">
        <v>24000</v>
      </c>
      <c r="C94" s="7">
        <v>12000</v>
      </c>
      <c r="D94" s="7">
        <v>0</v>
      </c>
      <c r="E94" s="7">
        <v>60000</v>
      </c>
      <c r="F94" s="294">
        <v>60000</v>
      </c>
      <c r="G94" s="7">
        <v>60000</v>
      </c>
      <c r="H94" s="7">
        <v>60000</v>
      </c>
      <c r="I94" s="7">
        <v>60000</v>
      </c>
      <c r="J94" s="285"/>
      <c r="K94" s="11" t="s">
        <v>172</v>
      </c>
      <c r="L94" s="11">
        <v>12000</v>
      </c>
      <c r="M94" s="11">
        <v>24000</v>
      </c>
      <c r="N94" s="11">
        <v>60000</v>
      </c>
      <c r="O94" s="11">
        <v>60000</v>
      </c>
      <c r="P94" s="11">
        <v>60000</v>
      </c>
      <c r="Q94" s="11">
        <v>60000</v>
      </c>
      <c r="R94" s="295">
        <v>60000</v>
      </c>
      <c r="S94" s="11">
        <v>0</v>
      </c>
    </row>
    <row r="95" spans="1:19" ht="12.75">
      <c r="A95" s="7"/>
      <c r="B95" s="145" t="s">
        <v>96</v>
      </c>
      <c r="C95" s="145" t="s">
        <v>125</v>
      </c>
      <c r="D95" s="145" t="s">
        <v>131</v>
      </c>
      <c r="E95" s="145" t="s">
        <v>128</v>
      </c>
      <c r="F95" s="145" t="s">
        <v>130</v>
      </c>
      <c r="G95" s="145" t="s">
        <v>127</v>
      </c>
      <c r="H95" s="145" t="s">
        <v>126</v>
      </c>
      <c r="I95" s="145" t="s">
        <v>129</v>
      </c>
      <c r="J95" s="285"/>
      <c r="K95" s="7"/>
      <c r="L95" s="145" t="s">
        <v>125</v>
      </c>
      <c r="M95" s="145" t="s">
        <v>96</v>
      </c>
      <c r="N95" s="145" t="s">
        <v>126</v>
      </c>
      <c r="O95" s="145" t="s">
        <v>129</v>
      </c>
      <c r="P95" s="145" t="s">
        <v>128</v>
      </c>
      <c r="Q95" s="145" t="s">
        <v>127</v>
      </c>
      <c r="R95" s="145" t="s">
        <v>130</v>
      </c>
      <c r="S95" s="145" t="s">
        <v>131</v>
      </c>
    </row>
    <row r="96" spans="1:19" ht="12.75">
      <c r="A96" s="7" t="s">
        <v>173</v>
      </c>
      <c r="B96" s="7">
        <v>24000</v>
      </c>
      <c r="C96" s="7">
        <v>12000</v>
      </c>
      <c r="D96" s="7">
        <v>0</v>
      </c>
      <c r="E96" s="7">
        <v>36000</v>
      </c>
      <c r="F96" s="294">
        <v>48000</v>
      </c>
      <c r="G96" s="7">
        <v>48000</v>
      </c>
      <c r="H96" s="7">
        <v>36000</v>
      </c>
      <c r="I96" s="7">
        <v>36000</v>
      </c>
      <c r="J96" s="285"/>
      <c r="K96" s="7" t="s">
        <v>173</v>
      </c>
      <c r="L96" s="7">
        <v>12000</v>
      </c>
      <c r="M96" s="7">
        <v>24000</v>
      </c>
      <c r="N96" s="7">
        <v>36000</v>
      </c>
      <c r="O96" s="7">
        <v>36000</v>
      </c>
      <c r="P96" s="7">
        <v>36000</v>
      </c>
      <c r="Q96" s="7">
        <v>48000</v>
      </c>
      <c r="R96" s="294">
        <v>48000</v>
      </c>
      <c r="S96" s="7">
        <v>0</v>
      </c>
    </row>
    <row r="97" spans="1:11" ht="12.75">
      <c r="A97" s="8"/>
      <c r="J97" s="285"/>
      <c r="K97" s="8"/>
    </row>
    <row r="98" spans="1:31" s="19" customFormat="1" ht="12.75">
      <c r="A98" s="18" t="s">
        <v>194</v>
      </c>
      <c r="J98" s="296"/>
      <c r="K98" s="18"/>
      <c r="T98" s="296"/>
      <c r="AD98" s="296"/>
      <c r="AE98" s="296"/>
    </row>
    <row r="99" spans="1:11" ht="12" customHeight="1" thickBot="1">
      <c r="A99" s="24" t="s">
        <v>195</v>
      </c>
      <c r="B99" s="25" t="s">
        <v>197</v>
      </c>
      <c r="C99" s="25" t="s">
        <v>196</v>
      </c>
      <c r="J99" s="285"/>
      <c r="K99" s="12"/>
    </row>
    <row r="100" spans="1:11" ht="13.5" hidden="1" thickTop="1">
      <c r="A100" s="8"/>
      <c r="B100" s="26">
        <v>1</v>
      </c>
      <c r="C100" s="26">
        <v>2</v>
      </c>
      <c r="J100" s="285"/>
      <c r="K100" s="12"/>
    </row>
    <row r="101" spans="1:11" ht="13.5" thickTop="1">
      <c r="A101" s="8"/>
      <c r="B101" s="26">
        <v>1</v>
      </c>
      <c r="C101" s="26">
        <v>2</v>
      </c>
      <c r="J101" s="285"/>
      <c r="K101" s="12"/>
    </row>
    <row r="102" spans="1:11" ht="12.75">
      <c r="A102" s="22">
        <v>3</v>
      </c>
      <c r="B102" s="23">
        <v>16260</v>
      </c>
      <c r="C102" s="23">
        <v>27100</v>
      </c>
      <c r="J102" s="285"/>
      <c r="K102" s="12"/>
    </row>
    <row r="103" spans="1:11" ht="12.75">
      <c r="A103" s="21">
        <v>4</v>
      </c>
      <c r="B103" s="20">
        <v>18116</v>
      </c>
      <c r="C103" s="20">
        <v>30193</v>
      </c>
      <c r="J103" s="285"/>
      <c r="K103" s="12"/>
    </row>
    <row r="104" spans="1:11" ht="12.75">
      <c r="A104" s="21">
        <v>5</v>
      </c>
      <c r="B104" s="20">
        <v>20554</v>
      </c>
      <c r="C104" s="20">
        <v>34257</v>
      </c>
      <c r="J104" s="285"/>
      <c r="K104" s="12"/>
    </row>
    <row r="105" spans="1:11" ht="12.75">
      <c r="A105" s="21">
        <v>6</v>
      </c>
      <c r="B105" s="20">
        <v>20560</v>
      </c>
      <c r="C105" s="20">
        <v>34267</v>
      </c>
      <c r="J105" s="285"/>
      <c r="K105" s="12"/>
    </row>
    <row r="106" spans="1:11" ht="12.75">
      <c r="A106" s="21">
        <v>7</v>
      </c>
      <c r="B106" s="20">
        <v>22253</v>
      </c>
      <c r="C106" s="20">
        <v>37088</v>
      </c>
      <c r="J106" s="285"/>
      <c r="K106" s="12"/>
    </row>
    <row r="107" spans="1:11" ht="12.75">
      <c r="A107" s="21">
        <v>8</v>
      </c>
      <c r="B107" s="20">
        <v>26991</v>
      </c>
      <c r="C107" s="20">
        <v>44985</v>
      </c>
      <c r="J107" s="285"/>
      <c r="K107" s="12"/>
    </row>
    <row r="108" spans="1:11" ht="12.75">
      <c r="A108" s="21">
        <v>9</v>
      </c>
      <c r="B108" s="20">
        <v>28853</v>
      </c>
      <c r="C108" s="20">
        <v>48089</v>
      </c>
      <c r="J108" s="285"/>
      <c r="K108" s="12"/>
    </row>
    <row r="109" spans="1:11" ht="12.75">
      <c r="A109" s="27"/>
      <c r="B109" s="28"/>
      <c r="C109" s="28"/>
      <c r="J109" s="285"/>
      <c r="K109" s="12"/>
    </row>
    <row r="110" spans="1:11" ht="12.75">
      <c r="A110" s="297" t="s">
        <v>200</v>
      </c>
      <c r="B110" s="298"/>
      <c r="C110" s="297"/>
      <c r="D110" s="299" t="s">
        <v>180</v>
      </c>
      <c r="E110" s="300" t="s">
        <v>198</v>
      </c>
      <c r="F110" s="301" t="s">
        <v>199</v>
      </c>
      <c r="G110" s="217"/>
      <c r="H110" s="217"/>
      <c r="I110" s="217"/>
      <c r="J110" s="285"/>
      <c r="K110" s="12"/>
    </row>
    <row r="111" spans="1:11" ht="24.75">
      <c r="A111" s="302" t="s">
        <v>176</v>
      </c>
      <c r="B111" s="303" t="s">
        <v>181</v>
      </c>
      <c r="C111" s="304" t="s">
        <v>102</v>
      </c>
      <c r="D111" s="305" t="s">
        <v>101</v>
      </c>
      <c r="E111" s="304" t="s">
        <v>132</v>
      </c>
      <c r="F111" s="304" t="s">
        <v>133</v>
      </c>
      <c r="G111" s="304" t="s">
        <v>105</v>
      </c>
      <c r="H111" s="304" t="s">
        <v>91</v>
      </c>
      <c r="I111" s="304" t="s">
        <v>103</v>
      </c>
      <c r="J111" s="285"/>
      <c r="K111" s="12"/>
    </row>
    <row r="112" spans="1:11" ht="12.75">
      <c r="A112" s="302"/>
      <c r="B112" s="303">
        <v>1</v>
      </c>
      <c r="C112" s="304" t="s">
        <v>96</v>
      </c>
      <c r="D112" s="305" t="s">
        <v>125</v>
      </c>
      <c r="E112" s="304" t="s">
        <v>128</v>
      </c>
      <c r="F112" s="304" t="s">
        <v>130</v>
      </c>
      <c r="G112" s="304" t="s">
        <v>127</v>
      </c>
      <c r="H112" s="304" t="s">
        <v>126</v>
      </c>
      <c r="I112" s="304" t="s">
        <v>129</v>
      </c>
      <c r="J112" s="285"/>
      <c r="K112" s="12"/>
    </row>
    <row r="113" spans="1:11" ht="12.75">
      <c r="A113" s="306" t="s">
        <v>107</v>
      </c>
      <c r="B113" s="307">
        <v>2</v>
      </c>
      <c r="C113" s="308">
        <v>689148</v>
      </c>
      <c r="D113" s="308">
        <v>615360</v>
      </c>
      <c r="E113" s="308">
        <v>786264</v>
      </c>
      <c r="F113" s="308">
        <v>853260</v>
      </c>
      <c r="G113" s="308">
        <v>853260</v>
      </c>
      <c r="H113" s="308">
        <v>786072</v>
      </c>
      <c r="I113" s="308">
        <v>786264</v>
      </c>
      <c r="J113" s="285"/>
      <c r="K113" s="12"/>
    </row>
    <row r="114" spans="1:11" ht="12.75">
      <c r="A114" s="306" t="s">
        <v>108</v>
      </c>
      <c r="B114" s="307">
        <v>3</v>
      </c>
      <c r="C114" s="308">
        <v>704268</v>
      </c>
      <c r="D114" s="308">
        <v>626700</v>
      </c>
      <c r="E114" s="308">
        <v>807060</v>
      </c>
      <c r="F114" s="308">
        <v>901644</v>
      </c>
      <c r="G114" s="308">
        <v>877080</v>
      </c>
      <c r="H114" s="308">
        <v>806856</v>
      </c>
      <c r="I114" s="308">
        <v>807060</v>
      </c>
      <c r="J114" s="285"/>
      <c r="K114" s="12"/>
    </row>
    <row r="115" spans="1:11" ht="12.75">
      <c r="A115" s="306" t="s">
        <v>109</v>
      </c>
      <c r="B115" s="307">
        <v>4</v>
      </c>
      <c r="C115" s="308">
        <v>759840</v>
      </c>
      <c r="D115" s="308">
        <v>669792</v>
      </c>
      <c r="E115" s="308">
        <v>872448</v>
      </c>
      <c r="F115" s="308">
        <v>978756</v>
      </c>
      <c r="G115" s="308">
        <v>953436</v>
      </c>
      <c r="H115" s="308">
        <v>872256</v>
      </c>
      <c r="I115" s="308">
        <v>872448</v>
      </c>
      <c r="J115" s="285"/>
      <c r="K115" s="12"/>
    </row>
    <row r="116" spans="1:11" ht="12.75">
      <c r="A116" s="306" t="s">
        <v>110</v>
      </c>
      <c r="B116" s="307">
        <v>5</v>
      </c>
      <c r="C116" s="308">
        <v>812004</v>
      </c>
      <c r="D116" s="308">
        <v>710232</v>
      </c>
      <c r="E116" s="308">
        <v>948804</v>
      </c>
      <c r="F116" s="308">
        <v>1074396</v>
      </c>
      <c r="G116" s="308">
        <v>1041888</v>
      </c>
      <c r="H116" s="308">
        <v>948612</v>
      </c>
      <c r="I116" s="308">
        <v>948804</v>
      </c>
      <c r="J116" s="285"/>
      <c r="K116" s="12"/>
    </row>
    <row r="117" spans="1:11" ht="12.75">
      <c r="A117" s="306" t="s">
        <v>111</v>
      </c>
      <c r="B117" s="307">
        <v>6</v>
      </c>
      <c r="C117" s="308">
        <v>864540</v>
      </c>
      <c r="D117" s="308">
        <v>750684</v>
      </c>
      <c r="E117" s="308">
        <v>1059564</v>
      </c>
      <c r="F117" s="308">
        <v>1195728</v>
      </c>
      <c r="G117" s="308">
        <v>1128072</v>
      </c>
      <c r="H117" s="308">
        <v>1023072</v>
      </c>
      <c r="I117" s="308">
        <v>1023276</v>
      </c>
      <c r="J117" s="285"/>
      <c r="K117" s="12"/>
    </row>
    <row r="118" spans="1:11" ht="12.75">
      <c r="A118" s="306" t="s">
        <v>112</v>
      </c>
      <c r="B118" s="307">
        <v>7</v>
      </c>
      <c r="C118" s="308">
        <v>902340</v>
      </c>
      <c r="D118" s="308">
        <v>779412</v>
      </c>
      <c r="E118" s="308">
        <v>1132512</v>
      </c>
      <c r="F118" s="308">
        <v>1275492</v>
      </c>
      <c r="G118" s="308">
        <v>1212360</v>
      </c>
      <c r="H118" s="308">
        <v>1096032</v>
      </c>
      <c r="I118" s="308">
        <v>1096224</v>
      </c>
      <c r="J118" s="285"/>
      <c r="K118" s="12"/>
    </row>
    <row r="119" spans="1:11" ht="12.75">
      <c r="A119" s="306" t="s">
        <v>113</v>
      </c>
      <c r="B119" s="307">
        <v>8</v>
      </c>
      <c r="C119" s="308">
        <v>930696</v>
      </c>
      <c r="D119" s="308">
        <v>801336</v>
      </c>
      <c r="E119" s="308">
        <v>1187328</v>
      </c>
      <c r="F119" s="308">
        <v>1338896</v>
      </c>
      <c r="G119" s="308">
        <v>1275492</v>
      </c>
      <c r="H119" s="308">
        <v>1150464</v>
      </c>
      <c r="I119" s="308">
        <v>1150656</v>
      </c>
      <c r="J119" s="285"/>
      <c r="K119" s="12"/>
    </row>
    <row r="120" spans="1:11" ht="13.5" customHeight="1">
      <c r="A120" s="27"/>
      <c r="B120" s="28"/>
      <c r="C120" s="28"/>
      <c r="J120" s="285"/>
      <c r="K120" s="12"/>
    </row>
    <row r="121" spans="1:11" ht="12.75">
      <c r="A121" s="297" t="s">
        <v>179</v>
      </c>
      <c r="B121" s="298"/>
      <c r="C121" s="297"/>
      <c r="D121" s="299" t="s">
        <v>180</v>
      </c>
      <c r="E121" s="300" t="s">
        <v>186</v>
      </c>
      <c r="F121" s="217"/>
      <c r="G121" s="217"/>
      <c r="H121" s="217"/>
      <c r="I121" s="217"/>
      <c r="J121" s="285"/>
      <c r="K121" s="12"/>
    </row>
    <row r="122" spans="1:11" ht="24.75">
      <c r="A122" s="302" t="s">
        <v>176</v>
      </c>
      <c r="B122" s="303" t="s">
        <v>181</v>
      </c>
      <c r="C122" s="304" t="s">
        <v>102</v>
      </c>
      <c r="D122" s="305" t="s">
        <v>101</v>
      </c>
      <c r="E122" s="304" t="s">
        <v>132</v>
      </c>
      <c r="F122" s="304" t="s">
        <v>133</v>
      </c>
      <c r="G122" s="304" t="s">
        <v>105</v>
      </c>
      <c r="H122" s="304" t="s">
        <v>91</v>
      </c>
      <c r="I122" s="304" t="s">
        <v>103</v>
      </c>
      <c r="J122" s="285"/>
      <c r="K122" s="12"/>
    </row>
    <row r="123" spans="1:11" ht="12.75">
      <c r="A123" s="302"/>
      <c r="B123" s="303">
        <v>1</v>
      </c>
      <c r="C123" s="304" t="s">
        <v>96</v>
      </c>
      <c r="D123" s="305" t="s">
        <v>125</v>
      </c>
      <c r="E123" s="304" t="s">
        <v>128</v>
      </c>
      <c r="F123" s="304" t="s">
        <v>130</v>
      </c>
      <c r="G123" s="304" t="s">
        <v>127</v>
      </c>
      <c r="H123" s="304" t="s">
        <v>126</v>
      </c>
      <c r="I123" s="304" t="s">
        <v>129</v>
      </c>
      <c r="J123" s="285"/>
      <c r="K123" s="12"/>
    </row>
    <row r="124" spans="1:11" ht="12.75">
      <c r="A124" s="306" t="s">
        <v>107</v>
      </c>
      <c r="B124" s="307">
        <v>2</v>
      </c>
      <c r="C124" s="308">
        <v>1312680</v>
      </c>
      <c r="D124" s="308">
        <v>1172112</v>
      </c>
      <c r="E124" s="308">
        <v>1497660</v>
      </c>
      <c r="F124" s="308">
        <v>1625268</v>
      </c>
      <c r="G124" s="308">
        <v>1625268</v>
      </c>
      <c r="H124" s="308">
        <v>1497276</v>
      </c>
      <c r="I124" s="308">
        <v>1497660</v>
      </c>
      <c r="J124" s="285"/>
      <c r="K124" s="12"/>
    </row>
    <row r="125" spans="1:11" ht="12.75">
      <c r="A125" s="306" t="s">
        <v>108</v>
      </c>
      <c r="B125" s="307">
        <v>3</v>
      </c>
      <c r="C125" s="308">
        <v>1341480</v>
      </c>
      <c r="D125" s="308">
        <v>1193712</v>
      </c>
      <c r="E125" s="308">
        <v>1537260</v>
      </c>
      <c r="F125" s="308">
        <v>1717428</v>
      </c>
      <c r="G125" s="308">
        <v>1670628</v>
      </c>
      <c r="H125" s="308">
        <v>1536876</v>
      </c>
      <c r="I125" s="308">
        <v>1537260</v>
      </c>
      <c r="J125" s="285"/>
      <c r="K125" s="12"/>
    </row>
    <row r="126" spans="1:11" ht="12.75">
      <c r="A126" s="306" t="s">
        <v>109</v>
      </c>
      <c r="B126" s="307">
        <v>4</v>
      </c>
      <c r="C126" s="308">
        <v>1447320</v>
      </c>
      <c r="D126" s="308">
        <v>1275792</v>
      </c>
      <c r="E126" s="308">
        <v>1661820</v>
      </c>
      <c r="F126" s="308">
        <v>1864308</v>
      </c>
      <c r="G126" s="308">
        <v>1816068</v>
      </c>
      <c r="H126" s="308">
        <v>1661436</v>
      </c>
      <c r="I126" s="308">
        <v>1661820</v>
      </c>
      <c r="J126" s="285"/>
      <c r="K126" s="12"/>
    </row>
    <row r="127" spans="1:11" ht="12.75">
      <c r="A127" s="306" t="s">
        <v>110</v>
      </c>
      <c r="B127" s="307">
        <v>5</v>
      </c>
      <c r="C127" s="308">
        <v>1546680</v>
      </c>
      <c r="D127" s="308">
        <v>1352832</v>
      </c>
      <c r="E127" s="308">
        <v>1807260</v>
      </c>
      <c r="F127" s="308">
        <v>2046468</v>
      </c>
      <c r="G127" s="308">
        <v>1984548</v>
      </c>
      <c r="H127" s="308">
        <v>1806876</v>
      </c>
      <c r="I127" s="308">
        <v>1807260</v>
      </c>
      <c r="J127" s="285"/>
      <c r="K127" s="12"/>
    </row>
    <row r="128" spans="1:11" ht="12.75">
      <c r="A128" s="306" t="s">
        <v>111</v>
      </c>
      <c r="B128" s="307">
        <v>6</v>
      </c>
      <c r="C128" s="308">
        <v>1646736</v>
      </c>
      <c r="D128" s="308">
        <v>1429872</v>
      </c>
      <c r="E128" s="308">
        <v>2018220</v>
      </c>
      <c r="F128" s="308">
        <v>2277588</v>
      </c>
      <c r="G128" s="308">
        <v>2148708</v>
      </c>
      <c r="H128" s="308">
        <v>1948716</v>
      </c>
      <c r="I128" s="308">
        <v>1949100</v>
      </c>
      <c r="J128" s="285"/>
      <c r="K128" s="12"/>
    </row>
    <row r="129" spans="1:11" ht="12.75">
      <c r="A129" s="306" t="s">
        <v>112</v>
      </c>
      <c r="B129" s="307">
        <v>7</v>
      </c>
      <c r="C129" s="308">
        <v>1718760</v>
      </c>
      <c r="D129" s="308">
        <v>1484592</v>
      </c>
      <c r="E129" s="308">
        <v>2157180</v>
      </c>
      <c r="F129" s="308">
        <v>2429508</v>
      </c>
      <c r="G129" s="308">
        <v>2309268</v>
      </c>
      <c r="H129" s="308">
        <v>2087676</v>
      </c>
      <c r="I129" s="308">
        <v>2088060</v>
      </c>
      <c r="J129" s="285"/>
      <c r="K129" s="12"/>
    </row>
    <row r="130" spans="1:11" ht="12.75">
      <c r="A130" s="306" t="s">
        <v>113</v>
      </c>
      <c r="B130" s="307">
        <v>8</v>
      </c>
      <c r="C130" s="308">
        <v>1772760</v>
      </c>
      <c r="D130" s="308">
        <v>1526352</v>
      </c>
      <c r="E130" s="308">
        <v>2261580</v>
      </c>
      <c r="F130" s="308">
        <v>2550468</v>
      </c>
      <c r="G130" s="308">
        <v>2429508</v>
      </c>
      <c r="H130" s="308">
        <v>2191356</v>
      </c>
      <c r="I130" s="308">
        <v>2191740</v>
      </c>
      <c r="J130" s="285"/>
      <c r="K130" s="12"/>
    </row>
    <row r="131" spans="1:11" ht="12.75">
      <c r="A131" s="12"/>
      <c r="J131" s="285"/>
      <c r="K131" s="12"/>
    </row>
    <row r="132" spans="1:23" ht="12.75">
      <c r="A132" s="309" t="s">
        <v>159</v>
      </c>
      <c r="E132" s="19" t="s">
        <v>205</v>
      </c>
      <c r="F132" s="19" t="s">
        <v>154</v>
      </c>
      <c r="G132" s="6" t="s">
        <v>202</v>
      </c>
      <c r="J132" s="310"/>
      <c r="K132" s="310"/>
      <c r="L132" s="10"/>
      <c r="M132" s="12"/>
      <c r="U132" s="310"/>
      <c r="V132" s="12"/>
      <c r="W132" s="10"/>
    </row>
    <row r="133" spans="10:29" ht="12" customHeight="1">
      <c r="J133" s="144"/>
      <c r="K133" s="144"/>
      <c r="N133" s="13"/>
      <c r="U133" s="144"/>
      <c r="AC133" s="13"/>
    </row>
    <row r="134" spans="1:31" s="14" customFormat="1" ht="12.75" customHeight="1">
      <c r="A134" s="311" t="s">
        <v>116</v>
      </c>
      <c r="B134" s="303" t="s">
        <v>139</v>
      </c>
      <c r="C134" s="281" t="s">
        <v>102</v>
      </c>
      <c r="D134" s="280" t="s">
        <v>101</v>
      </c>
      <c r="E134" s="281" t="s">
        <v>132</v>
      </c>
      <c r="F134" s="281" t="s">
        <v>133</v>
      </c>
      <c r="G134" s="281" t="s">
        <v>105</v>
      </c>
      <c r="H134" s="281" t="s">
        <v>91</v>
      </c>
      <c r="I134" s="281" t="s">
        <v>206</v>
      </c>
      <c r="J134" s="310"/>
      <c r="AD134" s="312"/>
      <c r="AE134" s="312"/>
    </row>
    <row r="135" spans="2:29" ht="12.75">
      <c r="B135" s="303">
        <v>1</v>
      </c>
      <c r="C135" s="145" t="s">
        <v>96</v>
      </c>
      <c r="D135" s="145" t="s">
        <v>125</v>
      </c>
      <c r="E135" s="145" t="s">
        <v>128</v>
      </c>
      <c r="F135" s="145" t="s">
        <v>130</v>
      </c>
      <c r="G135" s="145" t="s">
        <v>127</v>
      </c>
      <c r="H135" s="145" t="s">
        <v>126</v>
      </c>
      <c r="I135" s="145" t="s">
        <v>129</v>
      </c>
      <c r="L135" s="10"/>
      <c r="N135" s="9"/>
      <c r="O135" s="9"/>
      <c r="T135" s="3"/>
      <c r="W135" s="10"/>
      <c r="Z135" s="9"/>
      <c r="AC135" s="9"/>
    </row>
    <row r="136" spans="1:29" ht="12.75" customHeight="1">
      <c r="A136" s="306" t="s">
        <v>107</v>
      </c>
      <c r="B136" s="307">
        <v>2</v>
      </c>
      <c r="C136" s="308">
        <v>10949000</v>
      </c>
      <c r="D136" s="308">
        <v>8624000</v>
      </c>
      <c r="E136" s="308">
        <v>14098000</v>
      </c>
      <c r="F136" s="308">
        <v>16205000</v>
      </c>
      <c r="G136" s="308">
        <v>16205000</v>
      </c>
      <c r="H136" s="308">
        <v>14098000</v>
      </c>
      <c r="I136" s="308">
        <v>14098000</v>
      </c>
      <c r="N136" s="9"/>
      <c r="O136" s="9"/>
      <c r="T136" s="3"/>
      <c r="Z136" s="9"/>
      <c r="AC136" s="9"/>
    </row>
    <row r="137" spans="1:29" ht="12.75">
      <c r="A137" s="306" t="s">
        <v>108</v>
      </c>
      <c r="B137" s="307">
        <v>3</v>
      </c>
      <c r="C137" s="308">
        <v>11457000</v>
      </c>
      <c r="D137" s="308">
        <v>9006000</v>
      </c>
      <c r="E137" s="308">
        <v>14797000</v>
      </c>
      <c r="F137" s="308">
        <v>17833000</v>
      </c>
      <c r="G137" s="308">
        <v>17007000</v>
      </c>
      <c r="H137" s="308">
        <v>14797000</v>
      </c>
      <c r="I137" s="308">
        <v>14797000</v>
      </c>
      <c r="J137" s="165"/>
      <c r="N137" s="9"/>
      <c r="O137" s="9"/>
      <c r="T137" s="3"/>
      <c r="Z137" s="9"/>
      <c r="AC137" s="9"/>
    </row>
    <row r="138" spans="1:20" ht="12.75">
      <c r="A138" s="306" t="s">
        <v>109</v>
      </c>
      <c r="B138" s="307">
        <v>4</v>
      </c>
      <c r="C138" s="308">
        <v>13327000</v>
      </c>
      <c r="D138" s="308">
        <v>10456000</v>
      </c>
      <c r="E138" s="308">
        <v>16997000</v>
      </c>
      <c r="F138" s="308">
        <v>20428000</v>
      </c>
      <c r="G138" s="308">
        <v>19576000</v>
      </c>
      <c r="H138" s="308">
        <v>16997000</v>
      </c>
      <c r="I138" s="308">
        <v>16997000</v>
      </c>
      <c r="J138" s="313"/>
      <c r="T138" s="3"/>
    </row>
    <row r="139" spans="1:20" ht="12.75">
      <c r="A139" s="306" t="s">
        <v>110</v>
      </c>
      <c r="B139" s="307">
        <v>5</v>
      </c>
      <c r="C139" s="308">
        <v>15083000</v>
      </c>
      <c r="D139" s="308">
        <v>11817000</v>
      </c>
      <c r="E139" s="308">
        <v>19567000</v>
      </c>
      <c r="F139" s="308">
        <v>23646000</v>
      </c>
      <c r="G139" s="308">
        <v>22553000</v>
      </c>
      <c r="H139" s="308">
        <v>19567000</v>
      </c>
      <c r="I139" s="308">
        <v>19567000</v>
      </c>
      <c r="T139" s="3"/>
    </row>
    <row r="140" spans="1:20" ht="12.75">
      <c r="A140" s="306" t="s">
        <v>111</v>
      </c>
      <c r="B140" s="307">
        <v>6</v>
      </c>
      <c r="C140" s="308">
        <v>16851000</v>
      </c>
      <c r="D140" s="308">
        <v>13178000</v>
      </c>
      <c r="E140" s="308">
        <v>23294000</v>
      </c>
      <c r="F140" s="308">
        <v>27730000</v>
      </c>
      <c r="G140" s="308">
        <v>25453000</v>
      </c>
      <c r="H140" s="308">
        <v>22073000</v>
      </c>
      <c r="I140" s="308">
        <v>22073000</v>
      </c>
      <c r="T140" s="3"/>
    </row>
    <row r="141" spans="1:20" ht="12.75">
      <c r="A141" s="306" t="s">
        <v>112</v>
      </c>
      <c r="B141" s="307">
        <v>7</v>
      </c>
      <c r="C141" s="308">
        <v>18123000</v>
      </c>
      <c r="D141" s="308">
        <v>14145000</v>
      </c>
      <c r="E141" s="308">
        <v>25749000</v>
      </c>
      <c r="F141" s="308">
        <v>30414000</v>
      </c>
      <c r="G141" s="308">
        <v>28289000</v>
      </c>
      <c r="H141" s="308">
        <v>24528000</v>
      </c>
      <c r="I141" s="308">
        <v>24528000</v>
      </c>
      <c r="T141" s="3"/>
    </row>
    <row r="142" spans="1:20" ht="12.75">
      <c r="A142" s="306" t="s">
        <v>113</v>
      </c>
      <c r="B142" s="307">
        <v>8</v>
      </c>
      <c r="C142" s="308">
        <v>19077000</v>
      </c>
      <c r="D142" s="308">
        <v>14882000</v>
      </c>
      <c r="E142" s="308">
        <v>27594000</v>
      </c>
      <c r="F142" s="308">
        <v>32550000</v>
      </c>
      <c r="G142" s="308">
        <v>30414000</v>
      </c>
      <c r="H142" s="308">
        <v>26360000</v>
      </c>
      <c r="I142" s="308">
        <v>26360000</v>
      </c>
      <c r="T142" s="3"/>
    </row>
    <row r="143" ht="12.75">
      <c r="T143" s="3"/>
    </row>
    <row r="144" spans="1:20" ht="12.75">
      <c r="A144" s="314" t="s">
        <v>159</v>
      </c>
      <c r="E144" s="315" t="s">
        <v>158</v>
      </c>
      <c r="F144" s="39"/>
      <c r="G144" s="33" t="s">
        <v>160</v>
      </c>
      <c r="H144" s="39"/>
      <c r="T144" s="3"/>
    </row>
    <row r="145" spans="1:20" ht="24.75">
      <c r="A145" s="302" t="s">
        <v>116</v>
      </c>
      <c r="B145" s="303" t="s">
        <v>139</v>
      </c>
      <c r="C145" s="304" t="s">
        <v>102</v>
      </c>
      <c r="D145" s="305" t="s">
        <v>101</v>
      </c>
      <c r="E145" s="304" t="s">
        <v>132</v>
      </c>
      <c r="F145" s="304" t="s">
        <v>133</v>
      </c>
      <c r="G145" s="304" t="s">
        <v>105</v>
      </c>
      <c r="H145" s="304" t="s">
        <v>91</v>
      </c>
      <c r="I145" s="304" t="s">
        <v>103</v>
      </c>
      <c r="T145" s="3"/>
    </row>
    <row r="146" spans="1:31" ht="12.75">
      <c r="A146" s="302"/>
      <c r="B146" s="303">
        <v>1</v>
      </c>
      <c r="C146" s="304" t="s">
        <v>96</v>
      </c>
      <c r="D146" s="305" t="s">
        <v>125</v>
      </c>
      <c r="E146" s="304" t="s">
        <v>128</v>
      </c>
      <c r="F146" s="304" t="s">
        <v>130</v>
      </c>
      <c r="G146" s="304" t="s">
        <v>127</v>
      </c>
      <c r="H146" s="304" t="s">
        <v>126</v>
      </c>
      <c r="I146" s="304" t="s">
        <v>129</v>
      </c>
      <c r="S146" s="285"/>
      <c r="T146" s="3"/>
      <c r="AC146" s="285"/>
      <c r="AE146" s="3"/>
    </row>
    <row r="147" spans="1:9" ht="12.75">
      <c r="A147" s="306" t="s">
        <v>107</v>
      </c>
      <c r="B147" s="307">
        <v>2</v>
      </c>
      <c r="C147" s="308">
        <v>11525000</v>
      </c>
      <c r="D147" s="308">
        <v>9140000</v>
      </c>
      <c r="E147" s="308">
        <v>14758000</v>
      </c>
      <c r="F147" s="308">
        <v>16925000</v>
      </c>
      <c r="G147" s="308">
        <v>16925000</v>
      </c>
      <c r="H147" s="308">
        <v>14758000</v>
      </c>
      <c r="I147" s="308">
        <v>14758000</v>
      </c>
    </row>
    <row r="148" spans="1:9" ht="12.75">
      <c r="A148" s="306" t="s">
        <v>108</v>
      </c>
      <c r="B148" s="307">
        <v>3</v>
      </c>
      <c r="C148" s="308">
        <v>12045000</v>
      </c>
      <c r="D148" s="308">
        <v>9534000</v>
      </c>
      <c r="E148" s="308">
        <v>15481000</v>
      </c>
      <c r="F148" s="308">
        <v>18589000</v>
      </c>
      <c r="G148" s="308">
        <v>17739000</v>
      </c>
      <c r="H148" s="308">
        <v>15481000</v>
      </c>
      <c r="I148" s="308">
        <v>15481000</v>
      </c>
    </row>
    <row r="149" spans="1:9" ht="14.25" customHeight="1">
      <c r="A149" s="306" t="s">
        <v>109</v>
      </c>
      <c r="B149" s="307">
        <v>4</v>
      </c>
      <c r="C149" s="308">
        <v>13963000</v>
      </c>
      <c r="D149" s="308">
        <v>11020000</v>
      </c>
      <c r="E149" s="308">
        <v>17729000</v>
      </c>
      <c r="F149" s="308">
        <v>21256000</v>
      </c>
      <c r="G149" s="308">
        <v>20380000</v>
      </c>
      <c r="H149" s="308">
        <v>17729000</v>
      </c>
      <c r="I149" s="308">
        <v>17729000</v>
      </c>
    </row>
    <row r="150" spans="1:11" ht="16.5" customHeight="1">
      <c r="A150" s="306" t="s">
        <v>110</v>
      </c>
      <c r="B150" s="307">
        <v>5</v>
      </c>
      <c r="C150" s="308">
        <v>15767000</v>
      </c>
      <c r="D150" s="308">
        <v>12417000</v>
      </c>
      <c r="E150" s="308">
        <v>20371000</v>
      </c>
      <c r="F150" s="308">
        <v>24546000</v>
      </c>
      <c r="G150" s="308">
        <v>23429000</v>
      </c>
      <c r="H150" s="308">
        <v>20371000</v>
      </c>
      <c r="I150" s="308">
        <v>20371000</v>
      </c>
      <c r="K150" s="316"/>
    </row>
    <row r="151" spans="1:11" ht="12.75">
      <c r="A151" s="306" t="s">
        <v>111</v>
      </c>
      <c r="B151" s="307">
        <v>6</v>
      </c>
      <c r="C151" s="308">
        <v>17571000</v>
      </c>
      <c r="D151" s="308">
        <v>13802000</v>
      </c>
      <c r="E151" s="308">
        <v>24182000</v>
      </c>
      <c r="F151" s="308">
        <v>28738000</v>
      </c>
      <c r="G151" s="308">
        <v>26401000</v>
      </c>
      <c r="H151" s="308">
        <v>22937000</v>
      </c>
      <c r="I151" s="308">
        <v>22937000</v>
      </c>
      <c r="K151" s="218"/>
    </row>
    <row r="152" spans="1:11" ht="12.75">
      <c r="A152" s="306" t="s">
        <v>112</v>
      </c>
      <c r="B152" s="307">
        <v>7</v>
      </c>
      <c r="C152" s="308">
        <v>18879000</v>
      </c>
      <c r="D152" s="308">
        <v>14805000</v>
      </c>
      <c r="E152" s="308">
        <v>26697000</v>
      </c>
      <c r="F152" s="308">
        <v>31482000</v>
      </c>
      <c r="G152" s="308">
        <v>29309000</v>
      </c>
      <c r="H152" s="308">
        <v>25452000</v>
      </c>
      <c r="I152" s="308">
        <v>25452000</v>
      </c>
      <c r="K152" s="218"/>
    </row>
    <row r="153" spans="1:11" ht="12.75">
      <c r="A153" s="306" t="s">
        <v>113</v>
      </c>
      <c r="B153" s="307">
        <v>8</v>
      </c>
      <c r="C153" s="308">
        <v>19857000</v>
      </c>
      <c r="D153" s="308">
        <v>15554000</v>
      </c>
      <c r="E153" s="308">
        <v>28590000</v>
      </c>
      <c r="F153" s="308">
        <v>33678000</v>
      </c>
      <c r="G153" s="308">
        <v>31482000</v>
      </c>
      <c r="H153" s="308">
        <v>27332000</v>
      </c>
      <c r="I153" s="308">
        <v>27332000</v>
      </c>
      <c r="K153" s="218"/>
    </row>
    <row r="154" ht="12.75">
      <c r="K154" s="218"/>
    </row>
    <row r="155" spans="1:31" ht="12.75">
      <c r="A155" s="297" t="s">
        <v>155</v>
      </c>
      <c r="B155" s="298" t="s">
        <v>175</v>
      </c>
      <c r="C155" s="298" t="s">
        <v>178</v>
      </c>
      <c r="D155" s="297" t="s">
        <v>157</v>
      </c>
      <c r="E155" s="317" t="s">
        <v>158</v>
      </c>
      <c r="F155" s="217"/>
      <c r="G155" s="217"/>
      <c r="H155" s="217"/>
      <c r="I155" s="217"/>
      <c r="S155" s="285"/>
      <c r="T155" s="3"/>
      <c r="AC155" s="285"/>
      <c r="AE155" s="3"/>
    </row>
    <row r="156" spans="1:31" ht="24.75">
      <c r="A156" s="302" t="s">
        <v>176</v>
      </c>
      <c r="B156" s="303" t="s">
        <v>139</v>
      </c>
      <c r="C156" s="304" t="s">
        <v>102</v>
      </c>
      <c r="D156" s="305" t="s">
        <v>101</v>
      </c>
      <c r="E156" s="304" t="s">
        <v>132</v>
      </c>
      <c r="F156" s="304" t="s">
        <v>133</v>
      </c>
      <c r="G156" s="304" t="s">
        <v>105</v>
      </c>
      <c r="H156" s="304" t="s">
        <v>91</v>
      </c>
      <c r="I156" s="304" t="s">
        <v>103</v>
      </c>
      <c r="S156" s="285"/>
      <c r="T156" s="3"/>
      <c r="AC156" s="285"/>
      <c r="AE156" s="3"/>
    </row>
    <row r="157" spans="1:31" ht="12.75">
      <c r="A157" s="302"/>
      <c r="B157" s="303">
        <v>1</v>
      </c>
      <c r="C157" s="304" t="s">
        <v>96</v>
      </c>
      <c r="D157" s="305" t="s">
        <v>125</v>
      </c>
      <c r="E157" s="304" t="s">
        <v>128</v>
      </c>
      <c r="F157" s="304" t="s">
        <v>130</v>
      </c>
      <c r="G157" s="304" t="s">
        <v>127</v>
      </c>
      <c r="H157" s="304" t="s">
        <v>126</v>
      </c>
      <c r="I157" s="304" t="s">
        <v>129</v>
      </c>
      <c r="S157" s="285"/>
      <c r="T157" s="3"/>
      <c r="AC157" s="285"/>
      <c r="AE157" s="3"/>
    </row>
    <row r="158" spans="1:31" ht="12.75">
      <c r="A158" s="306" t="s">
        <v>107</v>
      </c>
      <c r="B158" s="307">
        <v>2</v>
      </c>
      <c r="C158" s="308">
        <v>48000</v>
      </c>
      <c r="D158" s="308">
        <v>43000</v>
      </c>
      <c r="E158" s="308">
        <v>55000</v>
      </c>
      <c r="F158" s="308">
        <v>60000</v>
      </c>
      <c r="G158" s="308">
        <v>60000</v>
      </c>
      <c r="H158" s="308">
        <v>55000</v>
      </c>
      <c r="I158" s="308">
        <v>55000</v>
      </c>
      <c r="S158" s="285"/>
      <c r="T158" s="3"/>
      <c r="AC158" s="285"/>
      <c r="AE158" s="3"/>
    </row>
    <row r="159" spans="1:31" ht="12.75">
      <c r="A159" s="306" t="s">
        <v>108</v>
      </c>
      <c r="B159" s="307">
        <v>3</v>
      </c>
      <c r="C159" s="308">
        <v>49000</v>
      </c>
      <c r="D159" s="308">
        <v>44000</v>
      </c>
      <c r="E159" s="308">
        <v>57000</v>
      </c>
      <c r="F159" s="308">
        <v>63000</v>
      </c>
      <c r="G159" s="308">
        <v>61000</v>
      </c>
      <c r="H159" s="308">
        <v>57000</v>
      </c>
      <c r="I159" s="308">
        <v>57000</v>
      </c>
      <c r="S159" s="285"/>
      <c r="T159" s="3"/>
      <c r="AC159" s="285"/>
      <c r="AE159" s="3"/>
    </row>
    <row r="160" spans="1:31" ht="12.75">
      <c r="A160" s="306" t="s">
        <v>109</v>
      </c>
      <c r="B160" s="307">
        <v>4</v>
      </c>
      <c r="C160" s="308">
        <v>53000</v>
      </c>
      <c r="D160" s="308">
        <v>47000</v>
      </c>
      <c r="E160" s="308">
        <v>61000</v>
      </c>
      <c r="F160" s="308">
        <v>69000</v>
      </c>
      <c r="G160" s="308">
        <v>67000</v>
      </c>
      <c r="H160" s="308">
        <v>61000</v>
      </c>
      <c r="I160" s="308">
        <v>61000</v>
      </c>
      <c r="S160" s="285"/>
      <c r="T160" s="3"/>
      <c r="AC160" s="285"/>
      <c r="AE160" s="3"/>
    </row>
    <row r="161" spans="1:31" ht="12.75">
      <c r="A161" s="306" t="s">
        <v>110</v>
      </c>
      <c r="B161" s="307">
        <v>5</v>
      </c>
      <c r="C161" s="308">
        <v>57000</v>
      </c>
      <c r="D161" s="308">
        <v>50000</v>
      </c>
      <c r="E161" s="308">
        <v>67000</v>
      </c>
      <c r="F161" s="308">
        <v>75000</v>
      </c>
      <c r="G161" s="308">
        <v>73000</v>
      </c>
      <c r="H161" s="308">
        <v>67000</v>
      </c>
      <c r="I161" s="308">
        <v>67000</v>
      </c>
      <c r="S161" s="285"/>
      <c r="T161" s="3"/>
      <c r="AC161" s="285"/>
      <c r="AE161" s="3"/>
    </row>
    <row r="162" spans="1:31" ht="12.75">
      <c r="A162" s="306" t="s">
        <v>111</v>
      </c>
      <c r="B162" s="307">
        <v>6</v>
      </c>
      <c r="C162" s="308">
        <v>60000</v>
      </c>
      <c r="D162" s="308">
        <v>52000</v>
      </c>
      <c r="E162" s="308">
        <v>74000</v>
      </c>
      <c r="F162" s="308">
        <v>84000</v>
      </c>
      <c r="G162" s="308">
        <v>79000</v>
      </c>
      <c r="H162" s="308">
        <v>72000</v>
      </c>
      <c r="I162" s="308">
        <v>72000</v>
      </c>
      <c r="S162" s="285"/>
      <c r="T162" s="3"/>
      <c r="AC162" s="285"/>
      <c r="AE162" s="3"/>
    </row>
    <row r="163" spans="1:31" ht="12.75">
      <c r="A163" s="306" t="s">
        <v>112</v>
      </c>
      <c r="B163" s="307">
        <v>7</v>
      </c>
      <c r="C163" s="308">
        <v>63000</v>
      </c>
      <c r="D163" s="308">
        <v>55000</v>
      </c>
      <c r="E163" s="308">
        <v>79000</v>
      </c>
      <c r="F163" s="308">
        <v>89000</v>
      </c>
      <c r="G163" s="308">
        <v>85000</v>
      </c>
      <c r="H163" s="308">
        <v>77000</v>
      </c>
      <c r="I163" s="308">
        <v>77000</v>
      </c>
      <c r="J163" s="165"/>
      <c r="T163" s="3"/>
      <c r="AC163" s="285"/>
      <c r="AE163" s="3"/>
    </row>
    <row r="164" spans="1:31" ht="12.75">
      <c r="A164" s="306" t="s">
        <v>113</v>
      </c>
      <c r="B164" s="307">
        <v>8</v>
      </c>
      <c r="C164" s="308">
        <v>65000</v>
      </c>
      <c r="D164" s="308">
        <v>56000</v>
      </c>
      <c r="E164" s="308">
        <v>83000</v>
      </c>
      <c r="F164" s="308">
        <v>94000</v>
      </c>
      <c r="G164" s="308">
        <v>89000</v>
      </c>
      <c r="H164" s="308">
        <v>81000</v>
      </c>
      <c r="I164" s="308">
        <v>81000</v>
      </c>
      <c r="K164" s="309"/>
      <c r="O164" s="19"/>
      <c r="Q164" s="6"/>
      <c r="T164" s="309"/>
      <c r="X164" s="19"/>
      <c r="Z164" s="6"/>
      <c r="AC164" s="285"/>
      <c r="AE164" s="3"/>
    </row>
    <row r="165" spans="1:30" s="14" customFormat="1" ht="12.75">
      <c r="A165" s="3"/>
      <c r="B165" s="3"/>
      <c r="C165" s="3"/>
      <c r="D165" s="3"/>
      <c r="E165" s="3"/>
      <c r="F165" s="3"/>
      <c r="G165" s="3"/>
      <c r="H165" s="3"/>
      <c r="I165" s="3"/>
      <c r="K165" s="3"/>
      <c r="L165" s="3"/>
      <c r="M165" s="3"/>
      <c r="N165" s="3"/>
      <c r="O165" s="3"/>
      <c r="P165" s="3"/>
      <c r="Q165" s="3"/>
      <c r="R165" s="3"/>
      <c r="S165" s="3"/>
      <c r="AC165" s="312"/>
      <c r="AD165" s="312"/>
    </row>
    <row r="166" spans="1:30" s="29" customFormat="1" ht="21">
      <c r="A166" s="121" t="s">
        <v>155</v>
      </c>
      <c r="B166" s="318" t="s">
        <v>156</v>
      </c>
      <c r="C166" s="318" t="s">
        <v>232</v>
      </c>
      <c r="D166" s="319" t="s">
        <v>231</v>
      </c>
      <c r="E166" s="217" t="s">
        <v>158</v>
      </c>
      <c r="G166" s="217"/>
      <c r="H166" s="217"/>
      <c r="I166" s="217"/>
      <c r="K166" s="320"/>
      <c r="L166" s="177"/>
      <c r="M166" s="321"/>
      <c r="N166" s="321"/>
      <c r="O166" s="321"/>
      <c r="P166" s="321"/>
      <c r="Q166" s="321"/>
      <c r="R166" s="321"/>
      <c r="S166" s="321"/>
      <c r="T166" s="320"/>
      <c r="U166" s="177"/>
      <c r="V166" s="321"/>
      <c r="W166" s="321"/>
      <c r="X166" s="321"/>
      <c r="Y166" s="321"/>
      <c r="Z166" s="321"/>
      <c r="AA166" s="321"/>
      <c r="AB166" s="321"/>
      <c r="AC166" s="180"/>
      <c r="AD166" s="180"/>
    </row>
    <row r="167" spans="1:31" ht="12.75">
      <c r="A167" s="322" t="s">
        <v>116</v>
      </c>
      <c r="B167" s="303">
        <v>1</v>
      </c>
      <c r="C167" s="304" t="s">
        <v>96</v>
      </c>
      <c r="D167" s="305" t="s">
        <v>125</v>
      </c>
      <c r="E167" s="304" t="s">
        <v>128</v>
      </c>
      <c r="F167" s="323" t="s">
        <v>130</v>
      </c>
      <c r="G167" s="324" t="s">
        <v>127</v>
      </c>
      <c r="H167" s="304" t="s">
        <v>126</v>
      </c>
      <c r="I167" s="304" t="s">
        <v>129</v>
      </c>
      <c r="M167" s="145"/>
      <c r="N167" s="145"/>
      <c r="O167" s="145"/>
      <c r="P167" s="145"/>
      <c r="Q167" s="145"/>
      <c r="R167" s="145"/>
      <c r="S167" s="145"/>
      <c r="T167" s="3"/>
      <c r="V167" s="145"/>
      <c r="W167" s="145"/>
      <c r="X167" s="145"/>
      <c r="Y167" s="145"/>
      <c r="Z167" s="145"/>
      <c r="AA167" s="145"/>
      <c r="AB167" s="145"/>
      <c r="AC167" s="285"/>
      <c r="AE167" s="3"/>
    </row>
    <row r="168" spans="1:31" ht="12.75">
      <c r="A168" s="325" t="s">
        <v>107</v>
      </c>
      <c r="B168" s="307">
        <v>2</v>
      </c>
      <c r="C168" s="308">
        <v>67000</v>
      </c>
      <c r="D168" s="308">
        <v>60000</v>
      </c>
      <c r="E168" s="308">
        <v>77000</v>
      </c>
      <c r="F168" s="326">
        <v>84000</v>
      </c>
      <c r="G168" s="327">
        <v>84000</v>
      </c>
      <c r="H168" s="308">
        <v>77000</v>
      </c>
      <c r="I168" s="308">
        <v>77000</v>
      </c>
      <c r="K168" s="328"/>
      <c r="L168" s="9"/>
      <c r="M168" s="218"/>
      <c r="N168" s="218"/>
      <c r="O168" s="218"/>
      <c r="P168" s="218"/>
      <c r="Q168" s="218"/>
      <c r="R168" s="218"/>
      <c r="S168" s="218"/>
      <c r="T168" s="328"/>
      <c r="U168" s="9"/>
      <c r="V168" s="218"/>
      <c r="W168" s="218"/>
      <c r="X168" s="218"/>
      <c r="Y168" s="218"/>
      <c r="Z168" s="218"/>
      <c r="AA168" s="218"/>
      <c r="AB168" s="218"/>
      <c r="AC168" s="285"/>
      <c r="AE168" s="3"/>
    </row>
    <row r="169" spans="1:31" ht="12.75">
      <c r="A169" s="325" t="s">
        <v>108</v>
      </c>
      <c r="B169" s="307">
        <v>3</v>
      </c>
      <c r="C169" s="308">
        <v>69000</v>
      </c>
      <c r="D169" s="308">
        <v>61000</v>
      </c>
      <c r="E169" s="308">
        <v>79000</v>
      </c>
      <c r="F169" s="326">
        <v>88000</v>
      </c>
      <c r="G169" s="327">
        <v>86000</v>
      </c>
      <c r="H169" s="308">
        <v>79000</v>
      </c>
      <c r="I169" s="308">
        <v>79000</v>
      </c>
      <c r="K169" s="328"/>
      <c r="L169" s="9"/>
      <c r="M169" s="218"/>
      <c r="N169" s="218"/>
      <c r="O169" s="218"/>
      <c r="P169" s="218"/>
      <c r="Q169" s="218"/>
      <c r="R169" s="218"/>
      <c r="S169" s="218"/>
      <c r="T169" s="328"/>
      <c r="U169" s="9"/>
      <c r="V169" s="218"/>
      <c r="W169" s="218"/>
      <c r="X169" s="218"/>
      <c r="Y169" s="218"/>
      <c r="Z169" s="218"/>
      <c r="AA169" s="218"/>
      <c r="AB169" s="218"/>
      <c r="AC169" s="285"/>
      <c r="AE169" s="3"/>
    </row>
    <row r="170" spans="1:31" ht="12.75">
      <c r="A170" s="325" t="s">
        <v>109</v>
      </c>
      <c r="B170" s="307">
        <v>4</v>
      </c>
      <c r="C170" s="308">
        <v>74000</v>
      </c>
      <c r="D170" s="308">
        <v>66000</v>
      </c>
      <c r="E170" s="308">
        <v>86000</v>
      </c>
      <c r="F170" s="326">
        <v>96000</v>
      </c>
      <c r="G170" s="327">
        <v>94000</v>
      </c>
      <c r="H170" s="308">
        <v>86000</v>
      </c>
      <c r="I170" s="308">
        <v>86000</v>
      </c>
      <c r="K170" s="328"/>
      <c r="L170" s="9"/>
      <c r="M170" s="218"/>
      <c r="N170" s="218"/>
      <c r="O170" s="218"/>
      <c r="P170" s="218"/>
      <c r="Q170" s="218"/>
      <c r="R170" s="218"/>
      <c r="S170" s="218"/>
      <c r="T170" s="328"/>
      <c r="U170" s="9"/>
      <c r="V170" s="218"/>
      <c r="W170" s="218"/>
      <c r="X170" s="218"/>
      <c r="Y170" s="218"/>
      <c r="Z170" s="218"/>
      <c r="AA170" s="218"/>
      <c r="AB170" s="218"/>
      <c r="AC170" s="285"/>
      <c r="AE170" s="3"/>
    </row>
    <row r="171" spans="1:31" ht="12.75">
      <c r="A171" s="325" t="s">
        <v>110</v>
      </c>
      <c r="B171" s="307">
        <v>5</v>
      </c>
      <c r="C171" s="308">
        <v>79000</v>
      </c>
      <c r="D171" s="308">
        <v>70000</v>
      </c>
      <c r="E171" s="308">
        <v>93000</v>
      </c>
      <c r="F171" s="326">
        <v>105000</v>
      </c>
      <c r="G171" s="327">
        <v>102000</v>
      </c>
      <c r="H171" s="308">
        <v>93000</v>
      </c>
      <c r="I171" s="308">
        <v>93000</v>
      </c>
      <c r="K171" s="328"/>
      <c r="L171" s="9"/>
      <c r="M171" s="218"/>
      <c r="N171" s="218"/>
      <c r="O171" s="218"/>
      <c r="P171" s="218"/>
      <c r="Q171" s="218"/>
      <c r="R171" s="218"/>
      <c r="S171" s="218"/>
      <c r="T171" s="328"/>
      <c r="U171" s="9"/>
      <c r="V171" s="218"/>
      <c r="W171" s="218"/>
      <c r="X171" s="218"/>
      <c r="Y171" s="218"/>
      <c r="Z171" s="218"/>
      <c r="AA171" s="218"/>
      <c r="AB171" s="218"/>
      <c r="AC171" s="285"/>
      <c r="AE171" s="3"/>
    </row>
    <row r="172" spans="1:31" ht="12.75">
      <c r="A172" s="325" t="s">
        <v>111</v>
      </c>
      <c r="B172" s="307">
        <v>6</v>
      </c>
      <c r="C172" s="308">
        <v>85000</v>
      </c>
      <c r="D172" s="308">
        <v>73000</v>
      </c>
      <c r="E172" s="308">
        <v>104000</v>
      </c>
      <c r="F172" s="326">
        <v>117000</v>
      </c>
      <c r="G172" s="327">
        <v>111000</v>
      </c>
      <c r="H172" s="308">
        <v>100000</v>
      </c>
      <c r="I172" s="308">
        <v>100000</v>
      </c>
      <c r="K172" s="328"/>
      <c r="L172" s="9"/>
      <c r="M172" s="218"/>
      <c r="N172" s="218"/>
      <c r="O172" s="218"/>
      <c r="P172" s="218"/>
      <c r="Q172" s="218"/>
      <c r="R172" s="218"/>
      <c r="S172" s="218"/>
      <c r="T172" s="328"/>
      <c r="U172" s="9"/>
      <c r="V172" s="218"/>
      <c r="W172" s="218"/>
      <c r="X172" s="218"/>
      <c r="Y172" s="218"/>
      <c r="Z172" s="218"/>
      <c r="AA172" s="218"/>
      <c r="AB172" s="218"/>
      <c r="AC172" s="285"/>
      <c r="AE172" s="3"/>
    </row>
    <row r="173" spans="1:31" ht="12.75">
      <c r="A173" s="325" t="s">
        <v>112</v>
      </c>
      <c r="B173" s="307">
        <v>7</v>
      </c>
      <c r="C173" s="308">
        <v>88000</v>
      </c>
      <c r="D173" s="308">
        <v>76000</v>
      </c>
      <c r="E173" s="308">
        <v>111000</v>
      </c>
      <c r="F173" s="326">
        <v>125000</v>
      </c>
      <c r="G173" s="327">
        <v>120000</v>
      </c>
      <c r="H173" s="308">
        <v>108000</v>
      </c>
      <c r="I173" s="308">
        <v>108000</v>
      </c>
      <c r="K173" s="328"/>
      <c r="L173" s="9"/>
      <c r="M173" s="218"/>
      <c r="N173" s="218"/>
      <c r="O173" s="218"/>
      <c r="P173" s="218"/>
      <c r="Q173" s="218"/>
      <c r="R173" s="218"/>
      <c r="S173" s="218"/>
      <c r="T173" s="328"/>
      <c r="U173" s="9"/>
      <c r="V173" s="218"/>
      <c r="W173" s="218"/>
      <c r="X173" s="218"/>
      <c r="Y173" s="218"/>
      <c r="Z173" s="218"/>
      <c r="AA173" s="218"/>
      <c r="AB173" s="218"/>
      <c r="AC173" s="285"/>
      <c r="AE173" s="3"/>
    </row>
    <row r="174" spans="1:31" ht="12.75">
      <c r="A174" s="325" t="s">
        <v>113</v>
      </c>
      <c r="B174" s="307">
        <v>8</v>
      </c>
      <c r="C174" s="329">
        <v>91000</v>
      </c>
      <c r="D174" s="329">
        <v>78000</v>
      </c>
      <c r="E174" s="329">
        <v>117000</v>
      </c>
      <c r="F174" s="326">
        <v>131000</v>
      </c>
      <c r="G174" s="330">
        <v>125000</v>
      </c>
      <c r="H174" s="329">
        <v>113000</v>
      </c>
      <c r="I174" s="329">
        <v>113000</v>
      </c>
      <c r="K174" s="328"/>
      <c r="L174" s="9"/>
      <c r="M174" s="218"/>
      <c r="N174" s="218"/>
      <c r="O174" s="218"/>
      <c r="P174" s="218"/>
      <c r="Q174" s="218"/>
      <c r="R174" s="218"/>
      <c r="S174" s="218"/>
      <c r="T174" s="328"/>
      <c r="U174" s="9"/>
      <c r="V174" s="218"/>
      <c r="W174" s="218"/>
      <c r="X174" s="218"/>
      <c r="Y174" s="218"/>
      <c r="Z174" s="218"/>
      <c r="AA174" s="218"/>
      <c r="AB174" s="218"/>
      <c r="AC174" s="285"/>
      <c r="AE174" s="3"/>
    </row>
    <row r="175" spans="1:31" ht="12.75">
      <c r="A175" s="331"/>
      <c r="B175" s="9"/>
      <c r="C175" s="218"/>
      <c r="D175" s="218"/>
      <c r="E175" s="218"/>
      <c r="F175" s="218"/>
      <c r="G175" s="218"/>
      <c r="H175" s="218"/>
      <c r="I175" s="218"/>
      <c r="K175" s="211"/>
      <c r="L175" s="9"/>
      <c r="M175" s="203"/>
      <c r="N175" s="203"/>
      <c r="O175" s="203"/>
      <c r="P175" s="203"/>
      <c r="Q175" s="203"/>
      <c r="R175" s="203"/>
      <c r="S175" s="203"/>
      <c r="T175" s="211"/>
      <c r="U175" s="9"/>
      <c r="V175" s="203"/>
      <c r="W175" s="203"/>
      <c r="X175" s="203"/>
      <c r="Y175" s="203"/>
      <c r="Z175" s="203"/>
      <c r="AA175" s="203"/>
      <c r="AB175" s="203"/>
      <c r="AC175" s="285"/>
      <c r="AE175" s="3"/>
    </row>
    <row r="176" spans="1:30" s="29" customFormat="1" ht="12.75">
      <c r="A176" s="297" t="s">
        <v>217</v>
      </c>
      <c r="B176" s="298"/>
      <c r="E176" s="317" t="s">
        <v>158</v>
      </c>
      <c r="F176" s="297" t="s">
        <v>218</v>
      </c>
      <c r="G176" s="217"/>
      <c r="H176" s="332" t="s">
        <v>219</v>
      </c>
      <c r="I176" s="217"/>
      <c r="K176" s="211"/>
      <c r="L176" s="212"/>
      <c r="M176" s="203"/>
      <c r="N176" s="203"/>
      <c r="O176" s="203"/>
      <c r="P176" s="203"/>
      <c r="Q176" s="203"/>
      <c r="R176" s="203"/>
      <c r="S176" s="203"/>
      <c r="T176" s="211"/>
      <c r="U176" s="212"/>
      <c r="V176" s="203"/>
      <c r="W176" s="203"/>
      <c r="X176" s="203"/>
      <c r="Y176" s="203"/>
      <c r="Z176" s="203"/>
      <c r="AA176" s="203"/>
      <c r="AB176" s="203"/>
      <c r="AC176" s="180"/>
      <c r="AD176" s="180"/>
    </row>
    <row r="177" spans="1:31" ht="24.75">
      <c r="A177" s="302" t="s">
        <v>176</v>
      </c>
      <c r="B177" s="303" t="s">
        <v>139</v>
      </c>
      <c r="C177" s="304" t="s">
        <v>102</v>
      </c>
      <c r="D177" s="305" t="s">
        <v>101</v>
      </c>
      <c r="E177" s="304" t="s">
        <v>132</v>
      </c>
      <c r="F177" s="304" t="s">
        <v>133</v>
      </c>
      <c r="G177" s="304" t="s">
        <v>105</v>
      </c>
      <c r="H177" s="304" t="s">
        <v>91</v>
      </c>
      <c r="I177" s="304" t="s">
        <v>103</v>
      </c>
      <c r="K177" s="211"/>
      <c r="L177" s="9"/>
      <c r="M177" s="203"/>
      <c r="N177" s="203"/>
      <c r="O177" s="203"/>
      <c r="P177" s="203"/>
      <c r="Q177" s="203"/>
      <c r="R177" s="203"/>
      <c r="S177" s="203"/>
      <c r="T177" s="211"/>
      <c r="U177" s="9"/>
      <c r="V177" s="203"/>
      <c r="W177" s="203"/>
      <c r="X177" s="203"/>
      <c r="Y177" s="203"/>
      <c r="Z177" s="203"/>
      <c r="AA177" s="203"/>
      <c r="AB177" s="203"/>
      <c r="AC177" s="285"/>
      <c r="AE177" s="3"/>
    </row>
    <row r="178" spans="1:31" ht="12.75">
      <c r="A178" s="302"/>
      <c r="B178" s="303">
        <v>1</v>
      </c>
      <c r="C178" s="304" t="s">
        <v>96</v>
      </c>
      <c r="D178" s="305" t="s">
        <v>125</v>
      </c>
      <c r="E178" s="304" t="s">
        <v>128</v>
      </c>
      <c r="F178" s="304" t="s">
        <v>130</v>
      </c>
      <c r="G178" s="304" t="s">
        <v>127</v>
      </c>
      <c r="H178" s="304" t="s">
        <v>126</v>
      </c>
      <c r="I178" s="304" t="s">
        <v>129</v>
      </c>
      <c r="K178" s="211"/>
      <c r="L178" s="9"/>
      <c r="M178" s="203"/>
      <c r="N178" s="203"/>
      <c r="O178" s="203"/>
      <c r="P178" s="203"/>
      <c r="Q178" s="203"/>
      <c r="R178" s="203"/>
      <c r="S178" s="203"/>
      <c r="T178" s="211"/>
      <c r="U178" s="9"/>
      <c r="V178" s="203"/>
      <c r="W178" s="203"/>
      <c r="X178" s="203"/>
      <c r="Y178" s="203"/>
      <c r="Z178" s="203"/>
      <c r="AA178" s="203"/>
      <c r="AB178" s="203"/>
      <c r="AC178" s="285"/>
      <c r="AE178" s="3"/>
    </row>
    <row r="179" spans="1:31" ht="12.75">
      <c r="A179" s="306" t="s">
        <v>107</v>
      </c>
      <c r="B179" s="307">
        <v>2</v>
      </c>
      <c r="C179" s="308">
        <f>C158+C168</f>
        <v>115000</v>
      </c>
      <c r="D179" s="308">
        <f aca="true" t="shared" si="0" ref="D179:I179">D158+D168</f>
        <v>103000</v>
      </c>
      <c r="E179" s="308">
        <f t="shared" si="0"/>
        <v>132000</v>
      </c>
      <c r="F179" s="308">
        <f t="shared" si="0"/>
        <v>144000</v>
      </c>
      <c r="G179" s="308">
        <f t="shared" si="0"/>
        <v>144000</v>
      </c>
      <c r="H179" s="308">
        <f t="shared" si="0"/>
        <v>132000</v>
      </c>
      <c r="I179" s="308">
        <f t="shared" si="0"/>
        <v>132000</v>
      </c>
      <c r="K179" s="211"/>
      <c r="L179" s="9"/>
      <c r="M179" s="203"/>
      <c r="N179" s="203"/>
      <c r="O179" s="203"/>
      <c r="P179" s="203"/>
      <c r="Q179" s="203"/>
      <c r="R179" s="203"/>
      <c r="S179" s="203"/>
      <c r="T179" s="211"/>
      <c r="U179" s="9"/>
      <c r="V179" s="203"/>
      <c r="W179" s="203"/>
      <c r="X179" s="203"/>
      <c r="Y179" s="203"/>
      <c r="Z179" s="203"/>
      <c r="AA179" s="203"/>
      <c r="AB179" s="203"/>
      <c r="AC179" s="285"/>
      <c r="AE179" s="3"/>
    </row>
    <row r="180" spans="1:31" ht="12.75">
      <c r="A180" s="306" t="s">
        <v>108</v>
      </c>
      <c r="B180" s="307">
        <v>3</v>
      </c>
      <c r="C180" s="308">
        <f>C159+C169</f>
        <v>118000</v>
      </c>
      <c r="D180" s="308">
        <f aca="true" t="shared" si="1" ref="D180:I183">D159+D169</f>
        <v>105000</v>
      </c>
      <c r="E180" s="308">
        <f t="shared" si="1"/>
        <v>136000</v>
      </c>
      <c r="F180" s="308">
        <f t="shared" si="1"/>
        <v>151000</v>
      </c>
      <c r="G180" s="308">
        <f t="shared" si="1"/>
        <v>147000</v>
      </c>
      <c r="H180" s="308">
        <f t="shared" si="1"/>
        <v>136000</v>
      </c>
      <c r="I180" s="308">
        <f t="shared" si="1"/>
        <v>136000</v>
      </c>
      <c r="K180" s="28"/>
      <c r="L180" s="9"/>
      <c r="M180" s="203"/>
      <c r="N180" s="203"/>
      <c r="O180" s="203"/>
      <c r="P180" s="203"/>
      <c r="Q180" s="203"/>
      <c r="R180" s="203"/>
      <c r="S180" s="203"/>
      <c r="T180" s="211"/>
      <c r="U180" s="9"/>
      <c r="V180" s="203"/>
      <c r="W180" s="203"/>
      <c r="X180" s="203"/>
      <c r="Y180" s="203"/>
      <c r="Z180" s="203"/>
      <c r="AA180" s="203"/>
      <c r="AB180" s="203"/>
      <c r="AC180" s="285"/>
      <c r="AE180" s="3"/>
    </row>
    <row r="181" spans="1:31" ht="12.75">
      <c r="A181" s="306" t="s">
        <v>109</v>
      </c>
      <c r="B181" s="307">
        <v>4</v>
      </c>
      <c r="C181" s="308">
        <f>C160+C170</f>
        <v>127000</v>
      </c>
      <c r="D181" s="308">
        <f t="shared" si="1"/>
        <v>113000</v>
      </c>
      <c r="E181" s="308">
        <f t="shared" si="1"/>
        <v>147000</v>
      </c>
      <c r="F181" s="308">
        <f t="shared" si="1"/>
        <v>165000</v>
      </c>
      <c r="G181" s="308">
        <f t="shared" si="1"/>
        <v>161000</v>
      </c>
      <c r="H181" s="308">
        <f t="shared" si="1"/>
        <v>147000</v>
      </c>
      <c r="I181" s="308">
        <f t="shared" si="1"/>
        <v>147000</v>
      </c>
      <c r="K181" s="211"/>
      <c r="L181" s="9"/>
      <c r="M181" s="203"/>
      <c r="N181" s="203"/>
      <c r="O181" s="203"/>
      <c r="P181" s="203"/>
      <c r="Q181" s="203"/>
      <c r="R181" s="203"/>
      <c r="S181" s="203"/>
      <c r="T181" s="211"/>
      <c r="U181" s="9"/>
      <c r="V181" s="203"/>
      <c r="W181" s="203"/>
      <c r="X181" s="203"/>
      <c r="Y181" s="203"/>
      <c r="Z181" s="203"/>
      <c r="AA181" s="203"/>
      <c r="AB181" s="203"/>
      <c r="AC181" s="285"/>
      <c r="AE181" s="3"/>
    </row>
    <row r="182" spans="1:31" ht="12.75">
      <c r="A182" s="306" t="s">
        <v>110</v>
      </c>
      <c r="B182" s="307">
        <v>5</v>
      </c>
      <c r="C182" s="308">
        <f>C161+C171</f>
        <v>136000</v>
      </c>
      <c r="D182" s="308">
        <f t="shared" si="1"/>
        <v>120000</v>
      </c>
      <c r="E182" s="308">
        <f t="shared" si="1"/>
        <v>160000</v>
      </c>
      <c r="F182" s="308">
        <f t="shared" si="1"/>
        <v>180000</v>
      </c>
      <c r="G182" s="308">
        <f t="shared" si="1"/>
        <v>175000</v>
      </c>
      <c r="H182" s="308">
        <f t="shared" si="1"/>
        <v>160000</v>
      </c>
      <c r="I182" s="308">
        <f t="shared" si="1"/>
        <v>160000</v>
      </c>
      <c r="K182" s="211"/>
      <c r="L182" s="9"/>
      <c r="M182" s="203"/>
      <c r="N182" s="203"/>
      <c r="O182" s="203"/>
      <c r="P182" s="203"/>
      <c r="Q182" s="203"/>
      <c r="R182" s="203"/>
      <c r="S182" s="203"/>
      <c r="T182" s="211"/>
      <c r="U182" s="9"/>
      <c r="V182" s="203"/>
      <c r="W182" s="203"/>
      <c r="X182" s="203"/>
      <c r="Y182" s="203"/>
      <c r="Z182" s="203"/>
      <c r="AA182" s="203"/>
      <c r="AB182" s="203"/>
      <c r="AC182" s="285"/>
      <c r="AE182" s="3"/>
    </row>
    <row r="183" spans="1:31" ht="12.75">
      <c r="A183" s="306" t="s">
        <v>111</v>
      </c>
      <c r="B183" s="307">
        <v>6</v>
      </c>
      <c r="C183" s="308">
        <f>C162+C172</f>
        <v>145000</v>
      </c>
      <c r="D183" s="308">
        <f t="shared" si="1"/>
        <v>125000</v>
      </c>
      <c r="E183" s="308">
        <f t="shared" si="1"/>
        <v>178000</v>
      </c>
      <c r="F183" s="308">
        <f t="shared" si="1"/>
        <v>201000</v>
      </c>
      <c r="G183" s="308">
        <f t="shared" si="1"/>
        <v>190000</v>
      </c>
      <c r="H183" s="308">
        <f t="shared" si="1"/>
        <v>172000</v>
      </c>
      <c r="I183" s="308">
        <f t="shared" si="1"/>
        <v>172000</v>
      </c>
      <c r="K183" s="211"/>
      <c r="L183" s="9"/>
      <c r="M183" s="203"/>
      <c r="N183" s="203"/>
      <c r="O183" s="203"/>
      <c r="P183" s="203"/>
      <c r="Q183" s="203"/>
      <c r="R183" s="203"/>
      <c r="S183" s="203"/>
      <c r="T183" s="211"/>
      <c r="U183" s="9"/>
      <c r="V183" s="203"/>
      <c r="W183" s="203"/>
      <c r="X183" s="203"/>
      <c r="Y183" s="203"/>
      <c r="Z183" s="203"/>
      <c r="AA183" s="203"/>
      <c r="AB183" s="203"/>
      <c r="AC183" s="285"/>
      <c r="AE183" s="3"/>
    </row>
    <row r="184" spans="1:31" ht="12.75">
      <c r="A184" s="306" t="s">
        <v>112</v>
      </c>
      <c r="B184" s="307">
        <v>7</v>
      </c>
      <c r="C184" s="308">
        <f aca="true" t="shared" si="2" ref="C184:I184">C163+C173</f>
        <v>151000</v>
      </c>
      <c r="D184" s="308">
        <f t="shared" si="2"/>
        <v>131000</v>
      </c>
      <c r="E184" s="308">
        <f t="shared" si="2"/>
        <v>190000</v>
      </c>
      <c r="F184" s="308">
        <f t="shared" si="2"/>
        <v>214000</v>
      </c>
      <c r="G184" s="308">
        <f t="shared" si="2"/>
        <v>205000</v>
      </c>
      <c r="H184" s="308">
        <f t="shared" si="2"/>
        <v>185000</v>
      </c>
      <c r="I184" s="308">
        <f t="shared" si="2"/>
        <v>185000</v>
      </c>
      <c r="K184" s="211"/>
      <c r="L184" s="9"/>
      <c r="M184" s="203"/>
      <c r="N184" s="203"/>
      <c r="O184" s="203"/>
      <c r="P184" s="203"/>
      <c r="Q184" s="203"/>
      <c r="R184" s="203"/>
      <c r="S184" s="203"/>
      <c r="T184" s="211"/>
      <c r="U184" s="9"/>
      <c r="V184" s="203"/>
      <c r="W184" s="203"/>
      <c r="X184" s="203"/>
      <c r="Y184" s="203"/>
      <c r="Z184" s="203"/>
      <c r="AA184" s="203"/>
      <c r="AB184" s="203"/>
      <c r="AC184" s="285"/>
      <c r="AE184" s="3"/>
    </row>
    <row r="185" spans="1:31" ht="12.75">
      <c r="A185" s="306" t="s">
        <v>113</v>
      </c>
      <c r="B185" s="307">
        <v>8</v>
      </c>
      <c r="C185" s="308">
        <f aca="true" t="shared" si="3" ref="C185:I185">C164+C174</f>
        <v>156000</v>
      </c>
      <c r="D185" s="308">
        <f t="shared" si="3"/>
        <v>134000</v>
      </c>
      <c r="E185" s="308">
        <f t="shared" si="3"/>
        <v>200000</v>
      </c>
      <c r="F185" s="308">
        <f t="shared" si="3"/>
        <v>225000</v>
      </c>
      <c r="G185" s="308">
        <f t="shared" si="3"/>
        <v>214000</v>
      </c>
      <c r="H185" s="308">
        <f t="shared" si="3"/>
        <v>194000</v>
      </c>
      <c r="I185" s="308">
        <f t="shared" si="3"/>
        <v>194000</v>
      </c>
      <c r="K185" s="211"/>
      <c r="L185" s="9"/>
      <c r="M185" s="203"/>
      <c r="N185" s="203"/>
      <c r="O185" s="203"/>
      <c r="P185" s="203"/>
      <c r="Q185" s="203"/>
      <c r="R185" s="203"/>
      <c r="S185" s="203"/>
      <c r="T185" s="211"/>
      <c r="U185" s="9"/>
      <c r="V185" s="203"/>
      <c r="W185" s="203"/>
      <c r="X185" s="203"/>
      <c r="Y185" s="203"/>
      <c r="Z185" s="203"/>
      <c r="AA185" s="203"/>
      <c r="AB185" s="203"/>
      <c r="AC185" s="285"/>
      <c r="AE185" s="3"/>
    </row>
    <row r="186" spans="3:31" ht="12.75">
      <c r="C186" s="333"/>
      <c r="D186" s="333"/>
      <c r="K186" s="211"/>
      <c r="L186" s="9"/>
      <c r="M186" s="203"/>
      <c r="N186" s="203"/>
      <c r="O186" s="203"/>
      <c r="P186" s="203"/>
      <c r="Q186" s="203"/>
      <c r="R186" s="203"/>
      <c r="S186" s="203"/>
      <c r="T186" s="211"/>
      <c r="U186" s="9"/>
      <c r="V186" s="203"/>
      <c r="W186" s="203"/>
      <c r="X186" s="203"/>
      <c r="Y186" s="203"/>
      <c r="Z186" s="203"/>
      <c r="AA186" s="203"/>
      <c r="AB186" s="203"/>
      <c r="AC186" s="285"/>
      <c r="AE186" s="3"/>
    </row>
    <row r="187" spans="1:30" s="35" customFormat="1" ht="18" customHeight="1">
      <c r="A187" s="334" t="s">
        <v>203</v>
      </c>
      <c r="B187" s="335"/>
      <c r="C187" s="336"/>
      <c r="D187" s="336"/>
      <c r="E187" s="336" t="s">
        <v>158</v>
      </c>
      <c r="F187" s="336"/>
      <c r="G187" s="336" t="s">
        <v>204</v>
      </c>
      <c r="H187" s="336"/>
      <c r="I187" s="336"/>
      <c r="K187" s="337"/>
      <c r="L187" s="335"/>
      <c r="M187" s="338"/>
      <c r="N187" s="338"/>
      <c r="O187" s="338"/>
      <c r="P187" s="338"/>
      <c r="Q187" s="338"/>
      <c r="R187" s="338"/>
      <c r="S187" s="338"/>
      <c r="T187" s="337"/>
      <c r="U187" s="335"/>
      <c r="V187" s="338"/>
      <c r="W187" s="338"/>
      <c r="X187" s="338"/>
      <c r="Y187" s="338"/>
      <c r="Z187" s="338"/>
      <c r="AA187" s="338"/>
      <c r="AB187" s="338"/>
      <c r="AC187" s="339"/>
      <c r="AD187" s="339"/>
    </row>
    <row r="188" spans="1:31" ht="8.25" customHeight="1">
      <c r="A188" s="340"/>
      <c r="B188" s="9"/>
      <c r="C188" s="341"/>
      <c r="D188" s="341"/>
      <c r="E188" s="341"/>
      <c r="F188" s="341"/>
      <c r="G188" s="341"/>
      <c r="H188" s="341"/>
      <c r="I188" s="341"/>
      <c r="K188" s="211"/>
      <c r="L188" s="9"/>
      <c r="M188" s="203"/>
      <c r="N188" s="203"/>
      <c r="O188" s="203"/>
      <c r="P188" s="203"/>
      <c r="Q188" s="203"/>
      <c r="R188" s="203"/>
      <c r="S188" s="203"/>
      <c r="T188" s="211"/>
      <c r="U188" s="9"/>
      <c r="V188" s="203"/>
      <c r="W188" s="203"/>
      <c r="X188" s="203"/>
      <c r="Y188" s="203"/>
      <c r="Z188" s="203"/>
      <c r="AA188" s="203"/>
      <c r="AB188" s="203"/>
      <c r="AC188" s="285"/>
      <c r="AE188" s="3"/>
    </row>
    <row r="189" spans="1:31" ht="12.75">
      <c r="A189" s="340" t="s">
        <v>116</v>
      </c>
      <c r="B189" s="9" t="s">
        <v>139</v>
      </c>
      <c r="C189" s="341" t="s">
        <v>102</v>
      </c>
      <c r="D189" s="341" t="s">
        <v>101</v>
      </c>
      <c r="E189" s="341" t="s">
        <v>132</v>
      </c>
      <c r="F189" s="341" t="s">
        <v>133</v>
      </c>
      <c r="G189" s="341" t="s">
        <v>105</v>
      </c>
      <c r="H189" s="341" t="s">
        <v>91</v>
      </c>
      <c r="I189" s="341" t="s">
        <v>103</v>
      </c>
      <c r="K189" s="211"/>
      <c r="L189" s="9"/>
      <c r="M189" s="203"/>
      <c r="N189" s="203"/>
      <c r="O189" s="203"/>
      <c r="P189" s="203"/>
      <c r="Q189" s="203"/>
      <c r="R189" s="203"/>
      <c r="S189" s="203"/>
      <c r="T189" s="211"/>
      <c r="U189" s="9"/>
      <c r="V189" s="203"/>
      <c r="W189" s="203"/>
      <c r="X189" s="203"/>
      <c r="Y189" s="203"/>
      <c r="Z189" s="203"/>
      <c r="AA189" s="203"/>
      <c r="AB189" s="203"/>
      <c r="AC189" s="285"/>
      <c r="AE189" s="3"/>
    </row>
    <row r="190" spans="1:31" ht="13.5" thickBot="1">
      <c r="A190" s="342"/>
      <c r="B190" s="303">
        <v>1</v>
      </c>
      <c r="C190" s="343" t="s">
        <v>96</v>
      </c>
      <c r="D190" s="343" t="s">
        <v>125</v>
      </c>
      <c r="E190" s="343" t="s">
        <v>128</v>
      </c>
      <c r="F190" s="343" t="s">
        <v>130</v>
      </c>
      <c r="G190" s="343" t="s">
        <v>127</v>
      </c>
      <c r="H190" s="343" t="s">
        <v>126</v>
      </c>
      <c r="I190" s="343" t="s">
        <v>129</v>
      </c>
      <c r="K190" s="211"/>
      <c r="L190" s="9"/>
      <c r="M190" s="203"/>
      <c r="N190" s="203"/>
      <c r="O190" s="203"/>
      <c r="P190" s="203"/>
      <c r="Q190" s="203"/>
      <c r="R190" s="203"/>
      <c r="S190" s="203"/>
      <c r="T190" s="211"/>
      <c r="U190" s="9"/>
      <c r="V190" s="203"/>
      <c r="W190" s="203"/>
      <c r="X190" s="203"/>
      <c r="Y190" s="203"/>
      <c r="Z190" s="203"/>
      <c r="AA190" s="203"/>
      <c r="AB190" s="203"/>
      <c r="AC190" s="285"/>
      <c r="AE190" s="3"/>
    </row>
    <row r="191" spans="1:31" ht="13.5" thickTop="1">
      <c r="A191" s="344" t="s">
        <v>107</v>
      </c>
      <c r="B191" s="307">
        <v>2</v>
      </c>
      <c r="C191" s="345">
        <f>C179*12+C136</f>
        <v>12329000</v>
      </c>
      <c r="D191" s="345">
        <f aca="true" t="shared" si="4" ref="D191:I191">D179*12+D136</f>
        <v>9860000</v>
      </c>
      <c r="E191" s="345">
        <f t="shared" si="4"/>
        <v>15682000</v>
      </c>
      <c r="F191" s="345">
        <f t="shared" si="4"/>
        <v>17933000</v>
      </c>
      <c r="G191" s="345">
        <f t="shared" si="4"/>
        <v>17933000</v>
      </c>
      <c r="H191" s="345">
        <f t="shared" si="4"/>
        <v>15682000</v>
      </c>
      <c r="I191" s="345">
        <f t="shared" si="4"/>
        <v>15682000</v>
      </c>
      <c r="K191" s="346"/>
      <c r="L191" s="9"/>
      <c r="M191" s="203"/>
      <c r="N191" s="203"/>
      <c r="O191" s="203"/>
      <c r="P191" s="203"/>
      <c r="Q191" s="203"/>
      <c r="R191" s="203"/>
      <c r="S191" s="203"/>
      <c r="T191" s="211"/>
      <c r="U191" s="9"/>
      <c r="V191" s="203"/>
      <c r="W191" s="203"/>
      <c r="X191" s="203"/>
      <c r="Y191" s="203"/>
      <c r="Z191" s="203"/>
      <c r="AA191" s="203"/>
      <c r="AB191" s="203"/>
      <c r="AC191" s="285"/>
      <c r="AE191" s="3"/>
    </row>
    <row r="192" spans="1:31" ht="12.75">
      <c r="A192" s="325" t="s">
        <v>108</v>
      </c>
      <c r="B192" s="307">
        <v>3</v>
      </c>
      <c r="C192" s="345">
        <f aca="true" t="shared" si="5" ref="C192:I197">C180*12+C137</f>
        <v>12873000</v>
      </c>
      <c r="D192" s="345">
        <f t="shared" si="5"/>
        <v>10266000</v>
      </c>
      <c r="E192" s="345">
        <f t="shared" si="5"/>
        <v>16429000</v>
      </c>
      <c r="F192" s="345">
        <f t="shared" si="5"/>
        <v>19645000</v>
      </c>
      <c r="G192" s="345">
        <f t="shared" si="5"/>
        <v>18771000</v>
      </c>
      <c r="H192" s="345">
        <f t="shared" si="5"/>
        <v>16429000</v>
      </c>
      <c r="I192" s="345">
        <f t="shared" si="5"/>
        <v>16429000</v>
      </c>
      <c r="K192" s="211"/>
      <c r="L192" s="9"/>
      <c r="M192" s="203"/>
      <c r="N192" s="203"/>
      <c r="O192" s="203"/>
      <c r="P192" s="203"/>
      <c r="Q192" s="203"/>
      <c r="R192" s="203"/>
      <c r="S192" s="203"/>
      <c r="T192" s="211"/>
      <c r="U192" s="9"/>
      <c r="V192" s="203"/>
      <c r="W192" s="203"/>
      <c r="X192" s="203"/>
      <c r="Y192" s="203"/>
      <c r="Z192" s="203"/>
      <c r="AA192" s="203"/>
      <c r="AB192" s="203"/>
      <c r="AC192" s="285"/>
      <c r="AE192" s="3"/>
    </row>
    <row r="193" spans="1:31" ht="12.75">
      <c r="A193" s="325" t="s">
        <v>109</v>
      </c>
      <c r="B193" s="307">
        <v>4</v>
      </c>
      <c r="C193" s="345">
        <f t="shared" si="5"/>
        <v>14851000</v>
      </c>
      <c r="D193" s="345">
        <f t="shared" si="5"/>
        <v>11812000</v>
      </c>
      <c r="E193" s="345">
        <f t="shared" si="5"/>
        <v>18761000</v>
      </c>
      <c r="F193" s="345">
        <f t="shared" si="5"/>
        <v>22408000</v>
      </c>
      <c r="G193" s="345">
        <f t="shared" si="5"/>
        <v>21508000</v>
      </c>
      <c r="H193" s="345">
        <f t="shared" si="5"/>
        <v>18761000</v>
      </c>
      <c r="I193" s="345">
        <f t="shared" si="5"/>
        <v>18761000</v>
      </c>
      <c r="K193" s="211"/>
      <c r="L193" s="9"/>
      <c r="M193" s="203"/>
      <c r="N193" s="203"/>
      <c r="O193" s="203"/>
      <c r="P193" s="203"/>
      <c r="Q193" s="203"/>
      <c r="R193" s="203"/>
      <c r="S193" s="203"/>
      <c r="T193" s="211"/>
      <c r="U193" s="9"/>
      <c r="V193" s="203"/>
      <c r="W193" s="203"/>
      <c r="X193" s="203"/>
      <c r="Y193" s="203"/>
      <c r="Z193" s="203"/>
      <c r="AA193" s="203"/>
      <c r="AB193" s="203"/>
      <c r="AC193" s="285"/>
      <c r="AE193" s="3"/>
    </row>
    <row r="194" spans="1:31" ht="12.75">
      <c r="A194" s="325" t="s">
        <v>110</v>
      </c>
      <c r="B194" s="307">
        <v>5</v>
      </c>
      <c r="C194" s="345">
        <f t="shared" si="5"/>
        <v>16715000</v>
      </c>
      <c r="D194" s="345">
        <f t="shared" si="5"/>
        <v>13257000</v>
      </c>
      <c r="E194" s="345">
        <f t="shared" si="5"/>
        <v>21487000</v>
      </c>
      <c r="F194" s="345">
        <f t="shared" si="5"/>
        <v>25806000</v>
      </c>
      <c r="G194" s="345">
        <f t="shared" si="5"/>
        <v>24653000</v>
      </c>
      <c r="H194" s="345">
        <f t="shared" si="5"/>
        <v>21487000</v>
      </c>
      <c r="I194" s="345">
        <f t="shared" si="5"/>
        <v>21487000</v>
      </c>
      <c r="K194" s="211"/>
      <c r="L194" s="9"/>
      <c r="M194" s="203"/>
      <c r="N194" s="203"/>
      <c r="O194" s="203"/>
      <c r="P194" s="203"/>
      <c r="Q194" s="203"/>
      <c r="R194" s="203"/>
      <c r="S194" s="203"/>
      <c r="T194" s="211"/>
      <c r="U194" s="9"/>
      <c r="V194" s="203"/>
      <c r="W194" s="203"/>
      <c r="X194" s="203"/>
      <c r="Y194" s="203"/>
      <c r="Z194" s="203"/>
      <c r="AA194" s="203"/>
      <c r="AB194" s="203"/>
      <c r="AC194" s="285"/>
      <c r="AE194" s="3"/>
    </row>
    <row r="195" spans="1:31" ht="12.75">
      <c r="A195" s="325" t="s">
        <v>111</v>
      </c>
      <c r="B195" s="307">
        <v>6</v>
      </c>
      <c r="C195" s="345">
        <f t="shared" si="5"/>
        <v>18591000</v>
      </c>
      <c r="D195" s="345">
        <f t="shared" si="5"/>
        <v>14678000</v>
      </c>
      <c r="E195" s="345">
        <f t="shared" si="5"/>
        <v>25430000</v>
      </c>
      <c r="F195" s="345">
        <f t="shared" si="5"/>
        <v>30142000</v>
      </c>
      <c r="G195" s="345">
        <f t="shared" si="5"/>
        <v>27733000</v>
      </c>
      <c r="H195" s="345">
        <f t="shared" si="5"/>
        <v>24137000</v>
      </c>
      <c r="I195" s="345">
        <f t="shared" si="5"/>
        <v>24137000</v>
      </c>
      <c r="K195" s="211"/>
      <c r="L195" s="9"/>
      <c r="M195" s="203"/>
      <c r="N195" s="203"/>
      <c r="O195" s="203"/>
      <c r="P195" s="203"/>
      <c r="Q195" s="203"/>
      <c r="R195" s="203"/>
      <c r="S195" s="203"/>
      <c r="T195" s="211"/>
      <c r="U195" s="9"/>
      <c r="V195" s="203"/>
      <c r="W195" s="203"/>
      <c r="X195" s="203"/>
      <c r="Y195" s="203"/>
      <c r="Z195" s="203"/>
      <c r="AA195" s="203"/>
      <c r="AB195" s="203"/>
      <c r="AC195" s="285"/>
      <c r="AE195" s="3"/>
    </row>
    <row r="196" spans="1:31" ht="12.75">
      <c r="A196" s="325" t="s">
        <v>112</v>
      </c>
      <c r="B196" s="307">
        <v>7</v>
      </c>
      <c r="C196" s="345">
        <f t="shared" si="5"/>
        <v>19935000</v>
      </c>
      <c r="D196" s="345">
        <f t="shared" si="5"/>
        <v>15717000</v>
      </c>
      <c r="E196" s="345">
        <f t="shared" si="5"/>
        <v>28029000</v>
      </c>
      <c r="F196" s="345">
        <f t="shared" si="5"/>
        <v>32982000</v>
      </c>
      <c r="G196" s="345">
        <f t="shared" si="5"/>
        <v>30749000</v>
      </c>
      <c r="H196" s="345">
        <f t="shared" si="5"/>
        <v>26748000</v>
      </c>
      <c r="I196" s="345">
        <f t="shared" si="5"/>
        <v>26748000</v>
      </c>
      <c r="J196" s="165"/>
      <c r="T196" s="3"/>
      <c r="AC196" s="285"/>
      <c r="AE196" s="3"/>
    </row>
    <row r="197" spans="1:31" ht="12.75">
      <c r="A197" s="325" t="s">
        <v>113</v>
      </c>
      <c r="B197" s="307">
        <v>8</v>
      </c>
      <c r="C197" s="345">
        <f t="shared" si="5"/>
        <v>20949000</v>
      </c>
      <c r="D197" s="345">
        <f t="shared" si="5"/>
        <v>16490000</v>
      </c>
      <c r="E197" s="345">
        <f t="shared" si="5"/>
        <v>29994000</v>
      </c>
      <c r="F197" s="345">
        <f t="shared" si="5"/>
        <v>35250000</v>
      </c>
      <c r="G197" s="345">
        <f t="shared" si="5"/>
        <v>32982000</v>
      </c>
      <c r="H197" s="345">
        <f t="shared" si="5"/>
        <v>28688000</v>
      </c>
      <c r="I197" s="345">
        <f t="shared" si="5"/>
        <v>28688000</v>
      </c>
      <c r="S197" s="285"/>
      <c r="T197" s="3"/>
      <c r="AC197" s="285"/>
      <c r="AE197" s="3"/>
    </row>
    <row r="198" spans="1:31" ht="12.75">
      <c r="A198" s="14"/>
      <c r="B198" s="14"/>
      <c r="C198" s="14"/>
      <c r="D198" s="14"/>
      <c r="E198" s="14"/>
      <c r="F198" s="14"/>
      <c r="G198" s="14"/>
      <c r="H198" s="14"/>
      <c r="I198" s="14"/>
      <c r="S198" s="285"/>
      <c r="T198" s="3"/>
      <c r="AC198" s="285"/>
      <c r="AE198" s="3"/>
    </row>
    <row r="199" spans="1:30" s="14" customFormat="1" ht="12.75">
      <c r="A199" s="297" t="s">
        <v>155</v>
      </c>
      <c r="B199" s="347" t="s">
        <v>156</v>
      </c>
      <c r="C199" s="347" t="s">
        <v>167</v>
      </c>
      <c r="D199" s="297" t="s">
        <v>166</v>
      </c>
      <c r="F199" s="317" t="s">
        <v>158</v>
      </c>
      <c r="G199" s="217"/>
      <c r="H199" s="217"/>
      <c r="I199" s="217"/>
      <c r="S199" s="312"/>
      <c r="AC199" s="312"/>
      <c r="AD199" s="312"/>
    </row>
    <row r="200" spans="1:31" ht="12.75">
      <c r="A200" s="348" t="s">
        <v>116</v>
      </c>
      <c r="B200" s="303">
        <v>1</v>
      </c>
      <c r="C200" s="304" t="s">
        <v>96</v>
      </c>
      <c r="D200" s="305" t="s">
        <v>125</v>
      </c>
      <c r="E200" s="304" t="s">
        <v>128</v>
      </c>
      <c r="F200" s="323" t="s">
        <v>130</v>
      </c>
      <c r="G200" s="324" t="s">
        <v>127</v>
      </c>
      <c r="H200" s="304" t="s">
        <v>126</v>
      </c>
      <c r="I200" s="304" t="s">
        <v>129</v>
      </c>
      <c r="S200" s="285"/>
      <c r="T200" s="3"/>
      <c r="AC200" s="285"/>
      <c r="AE200" s="3"/>
    </row>
    <row r="201" spans="1:31" ht="12.75">
      <c r="A201" s="306" t="s">
        <v>107</v>
      </c>
      <c r="B201" s="307">
        <v>2</v>
      </c>
      <c r="C201" s="308">
        <v>60000</v>
      </c>
      <c r="D201" s="308">
        <v>53000</v>
      </c>
      <c r="E201" s="308">
        <v>68000</v>
      </c>
      <c r="F201" s="326">
        <v>74000</v>
      </c>
      <c r="G201" s="327">
        <v>74000</v>
      </c>
      <c r="H201" s="308">
        <v>68000</v>
      </c>
      <c r="I201" s="308">
        <v>68000</v>
      </c>
      <c r="S201" s="285"/>
      <c r="T201" s="3"/>
      <c r="AC201" s="285"/>
      <c r="AE201" s="3"/>
    </row>
    <row r="202" spans="1:31" ht="12.75">
      <c r="A202" s="306" t="s">
        <v>108</v>
      </c>
      <c r="B202" s="307">
        <v>3</v>
      </c>
      <c r="C202" s="308">
        <v>61000</v>
      </c>
      <c r="D202" s="308">
        <v>54000</v>
      </c>
      <c r="E202" s="308">
        <v>70000</v>
      </c>
      <c r="F202" s="326">
        <v>78000</v>
      </c>
      <c r="G202" s="327">
        <v>76000</v>
      </c>
      <c r="H202" s="308">
        <v>70000</v>
      </c>
      <c r="I202" s="308">
        <v>70000</v>
      </c>
      <c r="S202" s="285"/>
      <c r="T202" s="3"/>
      <c r="AC202" s="285"/>
      <c r="AE202" s="3"/>
    </row>
    <row r="203" spans="1:31" ht="12.75">
      <c r="A203" s="306" t="s">
        <v>109</v>
      </c>
      <c r="B203" s="307">
        <v>4</v>
      </c>
      <c r="C203" s="308">
        <v>66000</v>
      </c>
      <c r="D203" s="308">
        <v>58000</v>
      </c>
      <c r="E203" s="308">
        <v>76000</v>
      </c>
      <c r="F203" s="326">
        <v>85000</v>
      </c>
      <c r="G203" s="327">
        <v>83000</v>
      </c>
      <c r="H203" s="308">
        <v>76000</v>
      </c>
      <c r="I203" s="308">
        <v>76000</v>
      </c>
      <c r="S203" s="285"/>
      <c r="T203" s="3"/>
      <c r="AC203" s="285"/>
      <c r="AE203" s="3"/>
    </row>
    <row r="204" spans="1:31" ht="12.75">
      <c r="A204" s="306" t="s">
        <v>110</v>
      </c>
      <c r="B204" s="307">
        <v>5</v>
      </c>
      <c r="C204" s="308">
        <v>70000</v>
      </c>
      <c r="D204" s="308">
        <v>62000</v>
      </c>
      <c r="E204" s="308">
        <v>82000</v>
      </c>
      <c r="F204" s="326">
        <v>93000</v>
      </c>
      <c r="G204" s="327">
        <v>91000</v>
      </c>
      <c r="H204" s="308">
        <v>82000</v>
      </c>
      <c r="I204" s="308">
        <v>82000</v>
      </c>
      <c r="S204" s="285"/>
      <c r="T204" s="3"/>
      <c r="AC204" s="285"/>
      <c r="AE204" s="3"/>
    </row>
    <row r="205" spans="1:31" ht="12.75">
      <c r="A205" s="306" t="s">
        <v>111</v>
      </c>
      <c r="B205" s="307">
        <v>6</v>
      </c>
      <c r="C205" s="308">
        <v>75000</v>
      </c>
      <c r="D205" s="308">
        <v>65000</v>
      </c>
      <c r="E205" s="308">
        <v>92000</v>
      </c>
      <c r="F205" s="326">
        <v>104000</v>
      </c>
      <c r="G205" s="327">
        <v>98000</v>
      </c>
      <c r="H205" s="308">
        <v>89000</v>
      </c>
      <c r="I205" s="308">
        <v>89000</v>
      </c>
      <c r="S205" s="285"/>
      <c r="T205" s="3"/>
      <c r="AC205" s="285"/>
      <c r="AE205" s="3"/>
    </row>
    <row r="206" spans="1:31" ht="12.75">
      <c r="A206" s="306" t="s">
        <v>112</v>
      </c>
      <c r="B206" s="307">
        <v>7</v>
      </c>
      <c r="C206" s="308">
        <v>78000</v>
      </c>
      <c r="D206" s="308">
        <v>68000</v>
      </c>
      <c r="E206" s="308">
        <v>98000</v>
      </c>
      <c r="F206" s="326">
        <v>111000</v>
      </c>
      <c r="G206" s="327">
        <v>105000</v>
      </c>
      <c r="H206" s="308">
        <v>95000</v>
      </c>
      <c r="I206" s="308">
        <v>95000</v>
      </c>
      <c r="S206" s="285"/>
      <c r="T206" s="3"/>
      <c r="AC206" s="285"/>
      <c r="AE206" s="3"/>
    </row>
    <row r="207" spans="1:31" ht="12.75">
      <c r="A207" s="306" t="s">
        <v>113</v>
      </c>
      <c r="B207" s="307">
        <v>8</v>
      </c>
      <c r="C207" s="308">
        <v>81000</v>
      </c>
      <c r="D207" s="308">
        <v>69000</v>
      </c>
      <c r="E207" s="308">
        <v>103000</v>
      </c>
      <c r="F207" s="326">
        <v>116000</v>
      </c>
      <c r="G207" s="327">
        <v>111000</v>
      </c>
      <c r="H207" s="308">
        <v>100000</v>
      </c>
      <c r="I207" s="308">
        <v>100000</v>
      </c>
      <c r="S207" s="285"/>
      <c r="T207" s="3"/>
      <c r="AC207" s="285"/>
      <c r="AE207" s="3"/>
    </row>
    <row r="208" spans="19:31" ht="12.75">
      <c r="S208" s="285"/>
      <c r="T208" s="3"/>
      <c r="AC208" s="285"/>
      <c r="AE208" s="3"/>
    </row>
    <row r="209" spans="1:30" s="34" customFormat="1" ht="21">
      <c r="A209" s="349" t="s">
        <v>169</v>
      </c>
      <c r="B209" s="350" t="s">
        <v>156</v>
      </c>
      <c r="C209" s="351" t="s">
        <v>170</v>
      </c>
      <c r="D209" s="352" t="s">
        <v>158</v>
      </c>
      <c r="E209" s="349" t="s">
        <v>166</v>
      </c>
      <c r="F209" s="353"/>
      <c r="G209" s="354"/>
      <c r="H209" s="354"/>
      <c r="I209" s="354"/>
      <c r="S209" s="355"/>
      <c r="AC209" s="355"/>
      <c r="AD209" s="355"/>
    </row>
    <row r="210" spans="1:31" ht="12.75">
      <c r="A210" s="348" t="s">
        <v>116</v>
      </c>
      <c r="B210" s="303">
        <v>1</v>
      </c>
      <c r="C210" s="304" t="s">
        <v>96</v>
      </c>
      <c r="D210" s="305" t="s">
        <v>125</v>
      </c>
      <c r="E210" s="304" t="s">
        <v>128</v>
      </c>
      <c r="F210" s="304" t="s">
        <v>130</v>
      </c>
      <c r="G210" s="304" t="s">
        <v>127</v>
      </c>
      <c r="H210" s="304" t="s">
        <v>126</v>
      </c>
      <c r="I210" s="304" t="s">
        <v>129</v>
      </c>
      <c r="S210" s="285"/>
      <c r="T210" s="3"/>
      <c r="AC210" s="285"/>
      <c r="AE210" s="3"/>
    </row>
    <row r="211" spans="1:31" ht="12.75">
      <c r="A211" s="306" t="s">
        <v>107</v>
      </c>
      <c r="B211" s="307">
        <v>2</v>
      </c>
      <c r="C211" s="308">
        <v>13049000</v>
      </c>
      <c r="D211" s="308">
        <v>10496000</v>
      </c>
      <c r="E211" s="308">
        <v>16498000</v>
      </c>
      <c r="F211" s="308">
        <v>18821000</v>
      </c>
      <c r="G211" s="308">
        <v>18821000</v>
      </c>
      <c r="H211" s="308">
        <v>16498000</v>
      </c>
      <c r="I211" s="308">
        <v>16498000</v>
      </c>
      <c r="S211" s="285"/>
      <c r="T211" s="3"/>
      <c r="AC211" s="285"/>
      <c r="AE211" s="3"/>
    </row>
    <row r="212" spans="1:31" ht="12.75">
      <c r="A212" s="306" t="s">
        <v>108</v>
      </c>
      <c r="B212" s="307">
        <v>3</v>
      </c>
      <c r="C212" s="308">
        <v>13605000</v>
      </c>
      <c r="D212" s="308">
        <v>10914000</v>
      </c>
      <c r="E212" s="308">
        <v>17269000</v>
      </c>
      <c r="F212" s="308">
        <v>20581000</v>
      </c>
      <c r="G212" s="308">
        <v>19683000</v>
      </c>
      <c r="H212" s="308">
        <v>17269000</v>
      </c>
      <c r="I212" s="308">
        <v>17269000</v>
      </c>
      <c r="S212" s="285"/>
      <c r="T212" s="3"/>
      <c r="AC212" s="285"/>
      <c r="AE212" s="3"/>
    </row>
    <row r="213" spans="1:31" ht="12.75">
      <c r="A213" s="306" t="s">
        <v>109</v>
      </c>
      <c r="B213" s="307">
        <v>4</v>
      </c>
      <c r="C213" s="308">
        <v>15643000</v>
      </c>
      <c r="D213" s="308">
        <v>12508000</v>
      </c>
      <c r="E213" s="308">
        <v>19673000</v>
      </c>
      <c r="F213" s="308">
        <v>23428000</v>
      </c>
      <c r="G213" s="308">
        <v>22504000</v>
      </c>
      <c r="H213" s="308">
        <v>19673000</v>
      </c>
      <c r="I213" s="308">
        <v>19673000</v>
      </c>
      <c r="S213" s="285"/>
      <c r="T213" s="3"/>
      <c r="AC213" s="285"/>
      <c r="AE213" s="3"/>
    </row>
    <row r="214" spans="1:31" ht="12.75">
      <c r="A214" s="306" t="s">
        <v>110</v>
      </c>
      <c r="B214" s="307">
        <v>5</v>
      </c>
      <c r="C214" s="308">
        <v>17555000</v>
      </c>
      <c r="D214" s="308">
        <v>14001000</v>
      </c>
      <c r="E214" s="308">
        <v>22471000</v>
      </c>
      <c r="F214" s="308">
        <v>26922000</v>
      </c>
      <c r="G214" s="308">
        <v>25745000</v>
      </c>
      <c r="H214" s="308">
        <v>22471000</v>
      </c>
      <c r="I214" s="308">
        <v>22471000</v>
      </c>
      <c r="S214" s="285"/>
      <c r="T214" s="3"/>
      <c r="AC214" s="285"/>
      <c r="AE214" s="3"/>
    </row>
    <row r="215" spans="1:31" ht="12.75">
      <c r="A215" s="306" t="s">
        <v>111</v>
      </c>
      <c r="B215" s="307">
        <v>6</v>
      </c>
      <c r="C215" s="308">
        <v>19491000</v>
      </c>
      <c r="D215" s="308">
        <v>15458000</v>
      </c>
      <c r="E215" s="308">
        <v>26534000</v>
      </c>
      <c r="F215" s="308">
        <v>31390000</v>
      </c>
      <c r="G215" s="308">
        <v>28909000</v>
      </c>
      <c r="H215" s="308">
        <v>25205000</v>
      </c>
      <c r="I215" s="308">
        <v>25205000</v>
      </c>
      <c r="S215" s="285"/>
      <c r="T215" s="3"/>
      <c r="AC215" s="285"/>
      <c r="AE215" s="3"/>
    </row>
    <row r="216" spans="1:31" ht="12.75">
      <c r="A216" s="306" t="s">
        <v>112</v>
      </c>
      <c r="B216" s="307">
        <v>7</v>
      </c>
      <c r="C216" s="308">
        <v>20871000</v>
      </c>
      <c r="D216" s="308">
        <v>16533000</v>
      </c>
      <c r="E216" s="308">
        <v>29205000</v>
      </c>
      <c r="F216" s="308">
        <v>34314000</v>
      </c>
      <c r="G216" s="308">
        <v>32009000</v>
      </c>
      <c r="H216" s="308">
        <v>27888000</v>
      </c>
      <c r="I216" s="308">
        <v>27888000</v>
      </c>
      <c r="S216" s="285"/>
      <c r="T216" s="3"/>
      <c r="AC216" s="285"/>
      <c r="AE216" s="3"/>
    </row>
    <row r="217" spans="1:31" ht="12.75">
      <c r="A217" s="306" t="s">
        <v>113</v>
      </c>
      <c r="B217" s="307">
        <v>8</v>
      </c>
      <c r="C217" s="308">
        <v>21921000</v>
      </c>
      <c r="D217" s="308">
        <v>17318000</v>
      </c>
      <c r="E217" s="308">
        <v>31230000</v>
      </c>
      <c r="F217" s="308">
        <v>36642000</v>
      </c>
      <c r="G217" s="308">
        <v>34314000</v>
      </c>
      <c r="H217" s="308">
        <v>29888000</v>
      </c>
      <c r="I217" s="308">
        <v>29888000</v>
      </c>
      <c r="S217" s="285"/>
      <c r="T217" s="3"/>
      <c r="AC217" s="285"/>
      <c r="AE217" s="3"/>
    </row>
    <row r="218" spans="19:31" ht="12.75">
      <c r="S218" s="285"/>
      <c r="T218" s="3"/>
      <c r="AC218" s="285"/>
      <c r="AE218" s="3"/>
    </row>
    <row r="219" spans="1:31" ht="12.75">
      <c r="A219" s="356" t="s">
        <v>155</v>
      </c>
      <c r="B219" s="347" t="s">
        <v>156</v>
      </c>
      <c r="C219" s="347" t="s">
        <v>167</v>
      </c>
      <c r="D219" s="357" t="s">
        <v>145</v>
      </c>
      <c r="E219" s="30" t="s">
        <v>134</v>
      </c>
      <c r="F219" s="358">
        <v>36100</v>
      </c>
      <c r="G219" s="359" t="s">
        <v>168</v>
      </c>
      <c r="H219" s="312"/>
      <c r="I219" s="360"/>
      <c r="S219" s="285"/>
      <c r="T219" s="3"/>
      <c r="AC219" s="285"/>
      <c r="AE219" s="3"/>
    </row>
    <row r="220" spans="1:31" ht="16.5" customHeight="1">
      <c r="A220" s="361" t="s">
        <v>116</v>
      </c>
      <c r="B220" s="303">
        <v>1</v>
      </c>
      <c r="C220" s="145" t="s">
        <v>96</v>
      </c>
      <c r="D220" s="145" t="s">
        <v>125</v>
      </c>
      <c r="E220" s="145" t="s">
        <v>128</v>
      </c>
      <c r="F220" s="145" t="s">
        <v>130</v>
      </c>
      <c r="G220" s="145" t="s">
        <v>127</v>
      </c>
      <c r="H220" s="145" t="s">
        <v>126</v>
      </c>
      <c r="I220" s="145" t="s">
        <v>129</v>
      </c>
      <c r="S220" s="285"/>
      <c r="T220" s="3"/>
      <c r="AC220" s="285"/>
      <c r="AE220" s="3"/>
    </row>
    <row r="221" spans="1:31" ht="12.75">
      <c r="A221" s="306" t="s">
        <v>107</v>
      </c>
      <c r="B221" s="307">
        <v>2</v>
      </c>
      <c r="C221" s="308">
        <v>38000</v>
      </c>
      <c r="D221" s="308">
        <v>34000</v>
      </c>
      <c r="E221" s="308">
        <v>43000</v>
      </c>
      <c r="F221" s="308">
        <v>47000</v>
      </c>
      <c r="G221" s="308">
        <v>47000</v>
      </c>
      <c r="H221" s="308">
        <v>43000</v>
      </c>
      <c r="I221" s="308">
        <v>43000</v>
      </c>
      <c r="S221" s="285"/>
      <c r="T221" s="3"/>
      <c r="AC221" s="285"/>
      <c r="AE221" s="3"/>
    </row>
    <row r="222" spans="1:31" ht="12.75">
      <c r="A222" s="306" t="s">
        <v>108</v>
      </c>
      <c r="B222" s="307">
        <v>3</v>
      </c>
      <c r="C222" s="308">
        <v>39000</v>
      </c>
      <c r="D222" s="308">
        <v>35000</v>
      </c>
      <c r="E222" s="308">
        <v>44000</v>
      </c>
      <c r="F222" s="308">
        <v>50000</v>
      </c>
      <c r="G222" s="308">
        <v>48000</v>
      </c>
      <c r="H222" s="308">
        <v>44000</v>
      </c>
      <c r="I222" s="308">
        <v>44000</v>
      </c>
      <c r="S222" s="285"/>
      <c r="T222" s="3"/>
      <c r="AC222" s="285"/>
      <c r="AE222" s="3"/>
    </row>
    <row r="223" spans="1:31" ht="12.75">
      <c r="A223" s="306" t="s">
        <v>109</v>
      </c>
      <c r="B223" s="307">
        <v>4</v>
      </c>
      <c r="C223" s="308">
        <v>42000</v>
      </c>
      <c r="D223" s="308">
        <v>37000</v>
      </c>
      <c r="E223" s="308">
        <v>48000</v>
      </c>
      <c r="F223" s="308">
        <v>54000</v>
      </c>
      <c r="G223" s="308">
        <v>52000</v>
      </c>
      <c r="H223" s="308">
        <v>48000</v>
      </c>
      <c r="I223" s="308">
        <v>48000</v>
      </c>
      <c r="S223" s="285"/>
      <c r="T223" s="3"/>
      <c r="AC223" s="285"/>
      <c r="AE223" s="3"/>
    </row>
    <row r="224" spans="1:31" ht="12.75">
      <c r="A224" s="306" t="s">
        <v>110</v>
      </c>
      <c r="B224" s="307">
        <v>5</v>
      </c>
      <c r="C224" s="308">
        <v>45000</v>
      </c>
      <c r="D224" s="308">
        <v>39000</v>
      </c>
      <c r="E224" s="308">
        <v>52000</v>
      </c>
      <c r="F224" s="308">
        <v>59000</v>
      </c>
      <c r="G224" s="308">
        <v>57000</v>
      </c>
      <c r="H224" s="308">
        <v>52000</v>
      </c>
      <c r="I224" s="308">
        <v>52000</v>
      </c>
      <c r="S224" s="285"/>
      <c r="T224" s="3"/>
      <c r="AC224" s="285"/>
      <c r="AE224" s="3"/>
    </row>
    <row r="225" spans="1:31" ht="12.75">
      <c r="A225" s="306" t="s">
        <v>111</v>
      </c>
      <c r="B225" s="307">
        <v>6</v>
      </c>
      <c r="C225" s="308">
        <v>47000</v>
      </c>
      <c r="D225" s="308">
        <v>41000</v>
      </c>
      <c r="E225" s="308">
        <v>58000</v>
      </c>
      <c r="F225" s="308">
        <v>66000</v>
      </c>
      <c r="G225" s="308">
        <v>62000</v>
      </c>
      <c r="H225" s="308">
        <v>56000</v>
      </c>
      <c r="I225" s="308">
        <v>56000</v>
      </c>
      <c r="S225" s="285"/>
      <c r="T225" s="3"/>
      <c r="AC225" s="285"/>
      <c r="AE225" s="3"/>
    </row>
    <row r="226" spans="1:31" ht="12.75">
      <c r="A226" s="306" t="s">
        <v>112</v>
      </c>
      <c r="B226" s="307">
        <v>7</v>
      </c>
      <c r="C226" s="308">
        <v>50000</v>
      </c>
      <c r="D226" s="308">
        <v>43000</v>
      </c>
      <c r="E226" s="308">
        <v>62000</v>
      </c>
      <c r="F226" s="308">
        <v>70000</v>
      </c>
      <c r="G226" s="308">
        <v>67000</v>
      </c>
      <c r="H226" s="308">
        <v>60000</v>
      </c>
      <c r="I226" s="308">
        <v>60000</v>
      </c>
      <c r="S226" s="285"/>
      <c r="T226" s="3"/>
      <c r="AC226" s="285"/>
      <c r="AE226" s="3"/>
    </row>
    <row r="227" spans="1:31" ht="12.75">
      <c r="A227" s="306" t="s">
        <v>113</v>
      </c>
      <c r="B227" s="307">
        <v>8</v>
      </c>
      <c r="C227" s="308">
        <v>51000</v>
      </c>
      <c r="D227" s="308">
        <v>44000</v>
      </c>
      <c r="E227" s="308">
        <v>65000</v>
      </c>
      <c r="F227" s="308">
        <v>74000</v>
      </c>
      <c r="G227" s="308">
        <v>70000</v>
      </c>
      <c r="H227" s="308">
        <v>63000</v>
      </c>
      <c r="I227" s="308">
        <v>63000</v>
      </c>
      <c r="S227" s="285"/>
      <c r="T227" s="3"/>
      <c r="AC227" s="285"/>
      <c r="AE227" s="3"/>
    </row>
    <row r="228" spans="1:31" ht="12.75">
      <c r="A228" s="211"/>
      <c r="B228" s="9"/>
      <c r="C228" s="203"/>
      <c r="D228" s="203"/>
      <c r="E228" s="203"/>
      <c r="F228" s="203"/>
      <c r="G228" s="203"/>
      <c r="H228" s="203"/>
      <c r="I228" s="203"/>
      <c r="S228" s="285"/>
      <c r="T228" s="3"/>
      <c r="AC228" s="285"/>
      <c r="AE228" s="3"/>
    </row>
    <row r="229" spans="1:30" s="34" customFormat="1" ht="12.75">
      <c r="A229" s="362" t="s">
        <v>169</v>
      </c>
      <c r="B229" s="363" t="s">
        <v>156</v>
      </c>
      <c r="C229" s="363" t="s">
        <v>213</v>
      </c>
      <c r="D229" s="364" t="s">
        <v>145</v>
      </c>
      <c r="E229" s="36" t="s">
        <v>134</v>
      </c>
      <c r="F229" s="365">
        <v>36100</v>
      </c>
      <c r="G229" s="366" t="s">
        <v>214</v>
      </c>
      <c r="I229" s="367"/>
      <c r="S229" s="355"/>
      <c r="AC229" s="355"/>
      <c r="AD229" s="355"/>
    </row>
    <row r="230" spans="1:31" ht="12.75">
      <c r="A230" s="368" t="s">
        <v>116</v>
      </c>
      <c r="B230" s="303">
        <v>1</v>
      </c>
      <c r="C230" s="145" t="s">
        <v>96</v>
      </c>
      <c r="D230" s="145" t="s">
        <v>125</v>
      </c>
      <c r="E230" s="145" t="s">
        <v>128</v>
      </c>
      <c r="F230" s="145" t="s">
        <v>130</v>
      </c>
      <c r="G230" s="145" t="s">
        <v>127</v>
      </c>
      <c r="H230" s="145" t="s">
        <v>126</v>
      </c>
      <c r="I230" s="145" t="s">
        <v>129</v>
      </c>
      <c r="S230" s="285"/>
      <c r="T230" s="3"/>
      <c r="AC230" s="285"/>
      <c r="AE230" s="3"/>
    </row>
    <row r="231" spans="1:31" ht="12.75">
      <c r="A231" s="306" t="s">
        <v>107</v>
      </c>
      <c r="B231" s="307">
        <v>2</v>
      </c>
      <c r="C231" s="308">
        <f aca="true" t="shared" si="6" ref="C231:D235">C211+(C221*12)</f>
        <v>13505000</v>
      </c>
      <c r="D231" s="308">
        <f t="shared" si="6"/>
        <v>10904000</v>
      </c>
      <c r="E231" s="308">
        <f>E211+(E221*12)</f>
        <v>17014000</v>
      </c>
      <c r="F231" s="308">
        <f>F211+(F221*12)</f>
        <v>19385000</v>
      </c>
      <c r="G231" s="308">
        <f>G211+(G221*12)</f>
        <v>19385000</v>
      </c>
      <c r="H231" s="308">
        <f>H211+(H221*12)</f>
        <v>17014000</v>
      </c>
      <c r="I231" s="308">
        <f>I211+(I221*12)</f>
        <v>17014000</v>
      </c>
      <c r="S231" s="285"/>
      <c r="T231" s="3"/>
      <c r="AC231" s="285"/>
      <c r="AE231" s="3"/>
    </row>
    <row r="232" spans="1:31" ht="12.75">
      <c r="A232" s="306" t="s">
        <v>108</v>
      </c>
      <c r="B232" s="307">
        <v>3</v>
      </c>
      <c r="C232" s="308">
        <f t="shared" si="6"/>
        <v>14073000</v>
      </c>
      <c r="D232" s="308">
        <f t="shared" si="6"/>
        <v>11334000</v>
      </c>
      <c r="E232" s="308">
        <f aca="true" t="shared" si="7" ref="E232:I235">E212+(E222*12)</f>
        <v>17797000</v>
      </c>
      <c r="F232" s="308">
        <f t="shared" si="7"/>
        <v>21181000</v>
      </c>
      <c r="G232" s="308">
        <f t="shared" si="7"/>
        <v>20259000</v>
      </c>
      <c r="H232" s="308">
        <f t="shared" si="7"/>
        <v>17797000</v>
      </c>
      <c r="I232" s="308">
        <f t="shared" si="7"/>
        <v>17797000</v>
      </c>
      <c r="S232" s="285"/>
      <c r="T232" s="3"/>
      <c r="AC232" s="285"/>
      <c r="AE232" s="3"/>
    </row>
    <row r="233" spans="1:31" ht="12.75">
      <c r="A233" s="306" t="s">
        <v>109</v>
      </c>
      <c r="B233" s="307">
        <v>4</v>
      </c>
      <c r="C233" s="308">
        <f t="shared" si="6"/>
        <v>16147000</v>
      </c>
      <c r="D233" s="308">
        <f t="shared" si="6"/>
        <v>12952000</v>
      </c>
      <c r="E233" s="308">
        <f t="shared" si="7"/>
        <v>20249000</v>
      </c>
      <c r="F233" s="308">
        <f t="shared" si="7"/>
        <v>24076000</v>
      </c>
      <c r="G233" s="308">
        <f t="shared" si="7"/>
        <v>23128000</v>
      </c>
      <c r="H233" s="308">
        <f t="shared" si="7"/>
        <v>20249000</v>
      </c>
      <c r="I233" s="308">
        <f t="shared" si="7"/>
        <v>20249000</v>
      </c>
      <c r="S233" s="285"/>
      <c r="T233" s="3"/>
      <c r="AC233" s="285"/>
      <c r="AE233" s="3"/>
    </row>
    <row r="234" spans="1:31" ht="12.75">
      <c r="A234" s="306" t="s">
        <v>110</v>
      </c>
      <c r="B234" s="307">
        <v>5</v>
      </c>
      <c r="C234" s="308">
        <f t="shared" si="6"/>
        <v>18095000</v>
      </c>
      <c r="D234" s="308">
        <f t="shared" si="6"/>
        <v>14469000</v>
      </c>
      <c r="E234" s="308">
        <f t="shared" si="7"/>
        <v>23095000</v>
      </c>
      <c r="F234" s="308">
        <f t="shared" si="7"/>
        <v>27630000</v>
      </c>
      <c r="G234" s="308">
        <f t="shared" si="7"/>
        <v>26429000</v>
      </c>
      <c r="H234" s="308">
        <f t="shared" si="7"/>
        <v>23095000</v>
      </c>
      <c r="I234" s="308">
        <f t="shared" si="7"/>
        <v>23095000</v>
      </c>
      <c r="S234" s="285"/>
      <c r="T234" s="3"/>
      <c r="AC234" s="285"/>
      <c r="AE234" s="3"/>
    </row>
    <row r="235" spans="1:31" ht="12.75">
      <c r="A235" s="306" t="s">
        <v>111</v>
      </c>
      <c r="B235" s="307">
        <v>6</v>
      </c>
      <c r="C235" s="308">
        <f t="shared" si="6"/>
        <v>20055000</v>
      </c>
      <c r="D235" s="308">
        <f t="shared" si="6"/>
        <v>15950000</v>
      </c>
      <c r="E235" s="308">
        <f t="shared" si="7"/>
        <v>27230000</v>
      </c>
      <c r="F235" s="308">
        <f t="shared" si="7"/>
        <v>32182000</v>
      </c>
      <c r="G235" s="308">
        <f t="shared" si="7"/>
        <v>29653000</v>
      </c>
      <c r="H235" s="308">
        <f t="shared" si="7"/>
        <v>25877000</v>
      </c>
      <c r="I235" s="308">
        <f t="shared" si="7"/>
        <v>25877000</v>
      </c>
      <c r="S235" s="285"/>
      <c r="T235" s="3"/>
      <c r="AC235" s="285"/>
      <c r="AE235" s="3"/>
    </row>
    <row r="236" spans="1:31" ht="12.75">
      <c r="A236" s="306" t="s">
        <v>112</v>
      </c>
      <c r="B236" s="307">
        <v>7</v>
      </c>
      <c r="C236" s="308">
        <f aca="true" t="shared" si="8" ref="C236:I236">C216+(C226*12)</f>
        <v>21471000</v>
      </c>
      <c r="D236" s="308">
        <f t="shared" si="8"/>
        <v>17049000</v>
      </c>
      <c r="E236" s="308">
        <f t="shared" si="8"/>
        <v>29949000</v>
      </c>
      <c r="F236" s="308">
        <f t="shared" si="8"/>
        <v>35154000</v>
      </c>
      <c r="G236" s="308">
        <f t="shared" si="8"/>
        <v>32813000</v>
      </c>
      <c r="H236" s="308">
        <f t="shared" si="8"/>
        <v>28608000</v>
      </c>
      <c r="I236" s="308">
        <f t="shared" si="8"/>
        <v>28608000</v>
      </c>
      <c r="S236" s="285"/>
      <c r="T236" s="3"/>
      <c r="AC236" s="285"/>
      <c r="AE236" s="3"/>
    </row>
    <row r="237" spans="1:31" ht="12.75">
      <c r="A237" s="306" t="s">
        <v>113</v>
      </c>
      <c r="B237" s="307">
        <v>8</v>
      </c>
      <c r="C237" s="308">
        <f aca="true" t="shared" si="9" ref="C237:I237">C217+(C227*12)</f>
        <v>22533000</v>
      </c>
      <c r="D237" s="308">
        <f t="shared" si="9"/>
        <v>17846000</v>
      </c>
      <c r="E237" s="308">
        <f t="shared" si="9"/>
        <v>32010000</v>
      </c>
      <c r="F237" s="308">
        <f t="shared" si="9"/>
        <v>37530000</v>
      </c>
      <c r="G237" s="308">
        <f t="shared" si="9"/>
        <v>35154000</v>
      </c>
      <c r="H237" s="308">
        <f t="shared" si="9"/>
        <v>30644000</v>
      </c>
      <c r="I237" s="308">
        <f t="shared" si="9"/>
        <v>30644000</v>
      </c>
      <c r="S237" s="285"/>
      <c r="T237" s="3"/>
      <c r="AC237" s="285"/>
      <c r="AE237" s="3"/>
    </row>
    <row r="238" spans="1:31" ht="12.75">
      <c r="A238" s="211"/>
      <c r="B238" s="9"/>
      <c r="C238" s="203"/>
      <c r="D238" s="203"/>
      <c r="E238" s="203"/>
      <c r="F238" s="203"/>
      <c r="G238" s="203"/>
      <c r="H238" s="203"/>
      <c r="I238" s="203"/>
      <c r="S238" s="285"/>
      <c r="T238" s="3"/>
      <c r="AC238" s="285"/>
      <c r="AE238" s="3"/>
    </row>
    <row r="239" spans="1:30" s="37" customFormat="1" ht="12.75">
      <c r="A239" s="369" t="s">
        <v>207</v>
      </c>
      <c r="C239" s="165"/>
      <c r="E239" s="165" t="s">
        <v>134</v>
      </c>
      <c r="F239" s="358">
        <v>36312</v>
      </c>
      <c r="G239" s="359" t="s">
        <v>190</v>
      </c>
      <c r="S239" s="263"/>
      <c r="AC239" s="263"/>
      <c r="AD239" s="263"/>
    </row>
    <row r="240" spans="19:31" ht="12.75">
      <c r="S240" s="285"/>
      <c r="T240" s="3"/>
      <c r="AC240" s="285"/>
      <c r="AE240" s="3"/>
    </row>
    <row r="241" spans="1:31" ht="12.75">
      <c r="A241" s="311" t="s">
        <v>116</v>
      </c>
      <c r="B241" s="303">
        <v>1</v>
      </c>
      <c r="C241" s="145" t="s">
        <v>96</v>
      </c>
      <c r="D241" s="145" t="s">
        <v>125</v>
      </c>
      <c r="E241" s="145" t="s">
        <v>128</v>
      </c>
      <c r="F241" s="145" t="s">
        <v>130</v>
      </c>
      <c r="G241" s="145" t="s">
        <v>127</v>
      </c>
      <c r="H241" s="145" t="s">
        <v>126</v>
      </c>
      <c r="I241" s="145" t="s">
        <v>129</v>
      </c>
      <c r="S241" s="285"/>
      <c r="T241" s="3"/>
      <c r="AC241" s="285"/>
      <c r="AE241" s="3"/>
    </row>
    <row r="242" spans="1:31" ht="12.75">
      <c r="A242" s="306" t="s">
        <v>107</v>
      </c>
      <c r="B242" s="307">
        <v>2</v>
      </c>
      <c r="C242" s="308">
        <f aca="true" t="shared" si="10" ref="C242:I248">(C264-C211-C221*12)/12</f>
        <v>32000</v>
      </c>
      <c r="D242" s="308">
        <f t="shared" si="10"/>
        <v>28000</v>
      </c>
      <c r="E242" s="308">
        <f t="shared" si="10"/>
        <v>36000</v>
      </c>
      <c r="F242" s="308">
        <f t="shared" si="10"/>
        <v>39000</v>
      </c>
      <c r="G242" s="308">
        <f t="shared" si="10"/>
        <v>39000</v>
      </c>
      <c r="H242" s="308">
        <f t="shared" si="10"/>
        <v>36000</v>
      </c>
      <c r="I242" s="308">
        <f t="shared" si="10"/>
        <v>36000</v>
      </c>
      <c r="S242" s="285"/>
      <c r="T242" s="3"/>
      <c r="AC242" s="285"/>
      <c r="AE242" s="3"/>
    </row>
    <row r="243" spans="1:31" ht="12.75">
      <c r="A243" s="306" t="s">
        <v>108</v>
      </c>
      <c r="B243" s="307">
        <v>3</v>
      </c>
      <c r="C243" s="308">
        <f t="shared" si="10"/>
        <v>33000</v>
      </c>
      <c r="D243" s="308">
        <f t="shared" si="10"/>
        <v>29000</v>
      </c>
      <c r="E243" s="308">
        <f t="shared" si="10"/>
        <v>37000</v>
      </c>
      <c r="F243" s="308">
        <f t="shared" si="10"/>
        <v>41000</v>
      </c>
      <c r="G243" s="308">
        <f t="shared" si="10"/>
        <v>40000</v>
      </c>
      <c r="H243" s="308">
        <f t="shared" si="10"/>
        <v>37000</v>
      </c>
      <c r="I243" s="308">
        <f t="shared" si="10"/>
        <v>37000</v>
      </c>
      <c r="S243" s="285"/>
      <c r="T243" s="3"/>
      <c r="AC243" s="285"/>
      <c r="AE243" s="3"/>
    </row>
    <row r="244" spans="1:31" ht="12.75">
      <c r="A244" s="306" t="s">
        <v>109</v>
      </c>
      <c r="B244" s="307">
        <v>4</v>
      </c>
      <c r="C244" s="308">
        <f t="shared" si="10"/>
        <v>35000</v>
      </c>
      <c r="D244" s="308">
        <f t="shared" si="10"/>
        <v>31000</v>
      </c>
      <c r="E244" s="308">
        <f t="shared" si="10"/>
        <v>40000</v>
      </c>
      <c r="F244" s="308">
        <f t="shared" si="10"/>
        <v>45000</v>
      </c>
      <c r="G244" s="308">
        <f t="shared" si="10"/>
        <v>44000</v>
      </c>
      <c r="H244" s="308">
        <f t="shared" si="10"/>
        <v>40000</v>
      </c>
      <c r="I244" s="308">
        <f t="shared" si="10"/>
        <v>40000</v>
      </c>
      <c r="S244" s="285"/>
      <c r="T244" s="3"/>
      <c r="AC244" s="285"/>
      <c r="AE244" s="3"/>
    </row>
    <row r="245" spans="1:31" ht="12.75">
      <c r="A245" s="306" t="s">
        <v>110</v>
      </c>
      <c r="B245" s="307">
        <v>5</v>
      </c>
      <c r="C245" s="308">
        <f t="shared" si="10"/>
        <v>37000</v>
      </c>
      <c r="D245" s="308">
        <f t="shared" si="10"/>
        <v>32000</v>
      </c>
      <c r="E245" s="308">
        <f t="shared" si="10"/>
        <v>44000</v>
      </c>
      <c r="F245" s="308">
        <f t="shared" si="10"/>
        <v>49000</v>
      </c>
      <c r="G245" s="308">
        <f t="shared" si="10"/>
        <v>48000</v>
      </c>
      <c r="H245" s="308">
        <f t="shared" si="10"/>
        <v>44000</v>
      </c>
      <c r="I245" s="308">
        <f t="shared" si="10"/>
        <v>44000</v>
      </c>
      <c r="S245" s="285"/>
      <c r="T245" s="3"/>
      <c r="AC245" s="285"/>
      <c r="AE245" s="3"/>
    </row>
    <row r="246" spans="1:31" ht="12.75">
      <c r="A246" s="306" t="s">
        <v>111</v>
      </c>
      <c r="B246" s="307">
        <v>6</v>
      </c>
      <c r="C246" s="308">
        <f t="shared" si="10"/>
        <v>40000</v>
      </c>
      <c r="D246" s="308">
        <f t="shared" si="10"/>
        <v>34000</v>
      </c>
      <c r="E246" s="308">
        <f t="shared" si="10"/>
        <v>49000</v>
      </c>
      <c r="F246" s="308">
        <f t="shared" si="10"/>
        <v>55000</v>
      </c>
      <c r="G246" s="308">
        <f t="shared" si="10"/>
        <v>52000</v>
      </c>
      <c r="H246" s="308">
        <f t="shared" si="10"/>
        <v>47000</v>
      </c>
      <c r="I246" s="308">
        <f t="shared" si="10"/>
        <v>47000</v>
      </c>
      <c r="S246" s="285"/>
      <c r="T246" s="3"/>
      <c r="AC246" s="285"/>
      <c r="AE246" s="3"/>
    </row>
    <row r="247" spans="1:31" ht="12.75">
      <c r="A247" s="306" t="s">
        <v>112</v>
      </c>
      <c r="B247" s="307">
        <v>7</v>
      </c>
      <c r="C247" s="308">
        <f t="shared" si="10"/>
        <v>41000</v>
      </c>
      <c r="D247" s="308">
        <f t="shared" si="10"/>
        <v>36000</v>
      </c>
      <c r="E247" s="308">
        <f t="shared" si="10"/>
        <v>52000</v>
      </c>
      <c r="F247" s="308">
        <f t="shared" si="10"/>
        <v>59000</v>
      </c>
      <c r="G247" s="308">
        <f t="shared" si="10"/>
        <v>56000</v>
      </c>
      <c r="H247" s="308">
        <f t="shared" si="10"/>
        <v>50000</v>
      </c>
      <c r="I247" s="308">
        <f t="shared" si="10"/>
        <v>50000</v>
      </c>
      <c r="S247" s="285"/>
      <c r="T247" s="3"/>
      <c r="AC247" s="285"/>
      <c r="AE247" s="3"/>
    </row>
    <row r="248" spans="1:31" ht="12.75">
      <c r="A248" s="306" t="s">
        <v>113</v>
      </c>
      <c r="B248" s="307">
        <v>8</v>
      </c>
      <c r="C248" s="308">
        <f t="shared" si="10"/>
        <v>43000</v>
      </c>
      <c r="D248" s="308">
        <f t="shared" si="10"/>
        <v>37000</v>
      </c>
      <c r="E248" s="308">
        <f t="shared" si="10"/>
        <v>54000</v>
      </c>
      <c r="F248" s="308">
        <f t="shared" si="10"/>
        <v>61000</v>
      </c>
      <c r="G248" s="308">
        <f t="shared" si="10"/>
        <v>59000</v>
      </c>
      <c r="H248" s="308">
        <f t="shared" si="10"/>
        <v>53000</v>
      </c>
      <c r="I248" s="308">
        <f t="shared" si="10"/>
        <v>53000</v>
      </c>
      <c r="S248" s="285"/>
      <c r="T248" s="3"/>
      <c r="AC248" s="285"/>
      <c r="AE248" s="3"/>
    </row>
    <row r="249" spans="3:31" ht="12.75">
      <c r="C249" s="333"/>
      <c r="S249" s="285"/>
      <c r="T249" s="3"/>
      <c r="AC249" s="285"/>
      <c r="AE249" s="3"/>
    </row>
    <row r="250" spans="1:30" s="37" customFormat="1" ht="12.75">
      <c r="A250" s="369" t="s">
        <v>292</v>
      </c>
      <c r="C250" s="165"/>
      <c r="G250" s="165" t="s">
        <v>134</v>
      </c>
      <c r="H250" s="358">
        <v>36312</v>
      </c>
      <c r="S250" s="263"/>
      <c r="AC250" s="263"/>
      <c r="AD250" s="263"/>
    </row>
    <row r="251" spans="19:31" ht="12.75">
      <c r="S251" s="285"/>
      <c r="T251" s="3"/>
      <c r="AC251" s="285"/>
      <c r="AE251" s="3"/>
    </row>
    <row r="252" spans="1:31" ht="12.75">
      <c r="A252" s="311" t="s">
        <v>116</v>
      </c>
      <c r="B252" s="303">
        <v>1</v>
      </c>
      <c r="C252" s="370" t="s">
        <v>96</v>
      </c>
      <c r="D252" s="370" t="s">
        <v>125</v>
      </c>
      <c r="E252" s="370" t="s">
        <v>128</v>
      </c>
      <c r="F252" s="370" t="s">
        <v>130</v>
      </c>
      <c r="G252" s="370" t="s">
        <v>127</v>
      </c>
      <c r="H252" s="370" t="s">
        <v>126</v>
      </c>
      <c r="I252" s="370" t="s">
        <v>129</v>
      </c>
      <c r="S252" s="285"/>
      <c r="T252" s="3"/>
      <c r="AC252" s="285"/>
      <c r="AE252" s="3"/>
    </row>
    <row r="253" spans="1:31" ht="12.75">
      <c r="A253" s="306" t="s">
        <v>107</v>
      </c>
      <c r="B253" s="307">
        <v>2</v>
      </c>
      <c r="C253" s="345">
        <f>C242+C221</f>
        <v>70000</v>
      </c>
      <c r="D253" s="345">
        <f aca="true" t="shared" si="11" ref="D253:I253">D242+D221</f>
        <v>62000</v>
      </c>
      <c r="E253" s="345">
        <f t="shared" si="11"/>
        <v>79000</v>
      </c>
      <c r="F253" s="345">
        <f t="shared" si="11"/>
        <v>86000</v>
      </c>
      <c r="G253" s="345">
        <f t="shared" si="11"/>
        <v>86000</v>
      </c>
      <c r="H253" s="345">
        <f t="shared" si="11"/>
        <v>79000</v>
      </c>
      <c r="I253" s="345">
        <f t="shared" si="11"/>
        <v>79000</v>
      </c>
      <c r="S253" s="285"/>
      <c r="T253" s="3"/>
      <c r="AC253" s="285"/>
      <c r="AE253" s="3"/>
    </row>
    <row r="254" spans="1:31" ht="12.75">
      <c r="A254" s="306" t="s">
        <v>108</v>
      </c>
      <c r="B254" s="307">
        <v>3</v>
      </c>
      <c r="C254" s="345">
        <f>C243+C222</f>
        <v>72000</v>
      </c>
      <c r="D254" s="345">
        <f aca="true" t="shared" si="12" ref="D254:I257">D243+D222</f>
        <v>64000</v>
      </c>
      <c r="E254" s="345">
        <f t="shared" si="12"/>
        <v>81000</v>
      </c>
      <c r="F254" s="345">
        <f t="shared" si="12"/>
        <v>91000</v>
      </c>
      <c r="G254" s="345">
        <f t="shared" si="12"/>
        <v>88000</v>
      </c>
      <c r="H254" s="345">
        <f t="shared" si="12"/>
        <v>81000</v>
      </c>
      <c r="I254" s="345">
        <f t="shared" si="12"/>
        <v>81000</v>
      </c>
      <c r="S254" s="285"/>
      <c r="T254" s="3"/>
      <c r="AC254" s="285"/>
      <c r="AE254" s="3"/>
    </row>
    <row r="255" spans="1:31" ht="12.75">
      <c r="A255" s="306" t="s">
        <v>109</v>
      </c>
      <c r="B255" s="307">
        <v>4</v>
      </c>
      <c r="C255" s="345">
        <f>C244+C223</f>
        <v>77000</v>
      </c>
      <c r="D255" s="345">
        <f t="shared" si="12"/>
        <v>68000</v>
      </c>
      <c r="E255" s="345">
        <f t="shared" si="12"/>
        <v>88000</v>
      </c>
      <c r="F255" s="345">
        <f t="shared" si="12"/>
        <v>99000</v>
      </c>
      <c r="G255" s="345">
        <f t="shared" si="12"/>
        <v>96000</v>
      </c>
      <c r="H255" s="345">
        <f t="shared" si="12"/>
        <v>88000</v>
      </c>
      <c r="I255" s="345">
        <f t="shared" si="12"/>
        <v>88000</v>
      </c>
      <c r="S255" s="285"/>
      <c r="T255" s="3"/>
      <c r="AC255" s="285"/>
      <c r="AE255" s="3"/>
    </row>
    <row r="256" spans="1:31" ht="12.75">
      <c r="A256" s="306" t="s">
        <v>110</v>
      </c>
      <c r="B256" s="307">
        <v>5</v>
      </c>
      <c r="C256" s="345">
        <f>C245+C224</f>
        <v>82000</v>
      </c>
      <c r="D256" s="345">
        <f t="shared" si="12"/>
        <v>71000</v>
      </c>
      <c r="E256" s="345">
        <f t="shared" si="12"/>
        <v>96000</v>
      </c>
      <c r="F256" s="345">
        <f t="shared" si="12"/>
        <v>108000</v>
      </c>
      <c r="G256" s="345">
        <f t="shared" si="12"/>
        <v>105000</v>
      </c>
      <c r="H256" s="345">
        <f t="shared" si="12"/>
        <v>96000</v>
      </c>
      <c r="I256" s="345">
        <f t="shared" si="12"/>
        <v>96000</v>
      </c>
      <c r="S256" s="285"/>
      <c r="T256" s="3"/>
      <c r="AC256" s="285"/>
      <c r="AE256" s="3"/>
    </row>
    <row r="257" spans="1:31" ht="12.75">
      <c r="A257" s="306" t="s">
        <v>111</v>
      </c>
      <c r="B257" s="307">
        <v>6</v>
      </c>
      <c r="C257" s="345">
        <f>C246+C225</f>
        <v>87000</v>
      </c>
      <c r="D257" s="345">
        <f t="shared" si="12"/>
        <v>75000</v>
      </c>
      <c r="E257" s="345">
        <f t="shared" si="12"/>
        <v>107000</v>
      </c>
      <c r="F257" s="345">
        <f t="shared" si="12"/>
        <v>121000</v>
      </c>
      <c r="G257" s="345">
        <f t="shared" si="12"/>
        <v>114000</v>
      </c>
      <c r="H257" s="345">
        <f t="shared" si="12"/>
        <v>103000</v>
      </c>
      <c r="I257" s="345">
        <f t="shared" si="12"/>
        <v>103000</v>
      </c>
      <c r="S257" s="285"/>
      <c r="T257" s="3"/>
      <c r="AC257" s="285"/>
      <c r="AE257" s="3"/>
    </row>
    <row r="258" spans="1:31" ht="12.75">
      <c r="A258" s="306" t="s">
        <v>112</v>
      </c>
      <c r="B258" s="307">
        <v>7</v>
      </c>
      <c r="C258" s="345">
        <f aca="true" t="shared" si="13" ref="C258:I258">C247+C226</f>
        <v>91000</v>
      </c>
      <c r="D258" s="345">
        <f t="shared" si="13"/>
        <v>79000</v>
      </c>
      <c r="E258" s="345">
        <f t="shared" si="13"/>
        <v>114000</v>
      </c>
      <c r="F258" s="345">
        <f t="shared" si="13"/>
        <v>129000</v>
      </c>
      <c r="G258" s="345">
        <f t="shared" si="13"/>
        <v>123000</v>
      </c>
      <c r="H258" s="345">
        <f t="shared" si="13"/>
        <v>110000</v>
      </c>
      <c r="I258" s="345">
        <f t="shared" si="13"/>
        <v>110000</v>
      </c>
      <c r="S258" s="285"/>
      <c r="T258" s="3"/>
      <c r="AC258" s="285"/>
      <c r="AE258" s="3"/>
    </row>
    <row r="259" spans="1:31" ht="12.75">
      <c r="A259" s="306" t="s">
        <v>113</v>
      </c>
      <c r="B259" s="307">
        <v>8</v>
      </c>
      <c r="C259" s="345">
        <f aca="true" t="shared" si="14" ref="C259:I259">C248+C227</f>
        <v>94000</v>
      </c>
      <c r="D259" s="345">
        <f t="shared" si="14"/>
        <v>81000</v>
      </c>
      <c r="E259" s="345">
        <f t="shared" si="14"/>
        <v>119000</v>
      </c>
      <c r="F259" s="345">
        <f t="shared" si="14"/>
        <v>135000</v>
      </c>
      <c r="G259" s="345">
        <f t="shared" si="14"/>
        <v>129000</v>
      </c>
      <c r="H259" s="345">
        <f t="shared" si="14"/>
        <v>116000</v>
      </c>
      <c r="I259" s="345">
        <f t="shared" si="14"/>
        <v>116000</v>
      </c>
      <c r="S259" s="285"/>
      <c r="T259" s="3"/>
      <c r="AC259" s="285"/>
      <c r="AE259" s="3"/>
    </row>
    <row r="260" spans="3:31" ht="12.75">
      <c r="C260" s="218"/>
      <c r="S260" s="285"/>
      <c r="T260" s="3"/>
      <c r="AC260" s="285"/>
      <c r="AE260" s="3"/>
    </row>
    <row r="261" spans="1:30" s="39" customFormat="1" ht="12.75">
      <c r="A261" s="152" t="s">
        <v>150</v>
      </c>
      <c r="C261" s="371"/>
      <c r="D261" s="371" t="s">
        <v>208</v>
      </c>
      <c r="E261" s="152"/>
      <c r="F261" s="171"/>
      <c r="G261" s="371"/>
      <c r="H261" s="372"/>
      <c r="I261" s="373"/>
      <c r="S261" s="184"/>
      <c r="AC261" s="184"/>
      <c r="AD261" s="184"/>
    </row>
    <row r="262" spans="3:31" ht="12.75">
      <c r="C262" s="145"/>
      <c r="D262" s="145"/>
      <c r="E262" s="145"/>
      <c r="F262" s="145"/>
      <c r="G262" s="145"/>
      <c r="H262" s="145"/>
      <c r="I262" s="145"/>
      <c r="S262" s="285"/>
      <c r="T262" s="3"/>
      <c r="AC262" s="285"/>
      <c r="AE262" s="3"/>
    </row>
    <row r="263" spans="1:31" ht="12.75">
      <c r="A263" s="311" t="s">
        <v>116</v>
      </c>
      <c r="B263" s="303">
        <v>1</v>
      </c>
      <c r="C263" s="145" t="s">
        <v>96</v>
      </c>
      <c r="D263" s="145" t="s">
        <v>125</v>
      </c>
      <c r="E263" s="145" t="s">
        <v>128</v>
      </c>
      <c r="F263" s="145" t="s">
        <v>130</v>
      </c>
      <c r="G263" s="145" t="s">
        <v>127</v>
      </c>
      <c r="H263" s="145" t="s">
        <v>126</v>
      </c>
      <c r="I263" s="145" t="s">
        <v>129</v>
      </c>
      <c r="S263" s="285"/>
      <c r="T263" s="3"/>
      <c r="AC263" s="285"/>
      <c r="AE263" s="3"/>
    </row>
    <row r="264" spans="1:31" ht="12.75">
      <c r="A264" s="306" t="s">
        <v>107</v>
      </c>
      <c r="B264" s="307">
        <v>2</v>
      </c>
      <c r="C264" s="308">
        <v>13889000</v>
      </c>
      <c r="D264" s="308">
        <v>11240000</v>
      </c>
      <c r="E264" s="308">
        <v>17446000</v>
      </c>
      <c r="F264" s="308">
        <v>19853000</v>
      </c>
      <c r="G264" s="308">
        <v>19853000</v>
      </c>
      <c r="H264" s="308">
        <v>17446000</v>
      </c>
      <c r="I264" s="308">
        <v>17446000</v>
      </c>
      <c r="S264" s="285"/>
      <c r="T264" s="3"/>
      <c r="AC264" s="285"/>
      <c r="AE264" s="3"/>
    </row>
    <row r="265" spans="1:31" ht="12.75">
      <c r="A265" s="306" t="s">
        <v>108</v>
      </c>
      <c r="B265" s="307">
        <v>3</v>
      </c>
      <c r="C265" s="308">
        <v>14469000</v>
      </c>
      <c r="D265" s="308">
        <v>11682000</v>
      </c>
      <c r="E265" s="308">
        <v>18241000</v>
      </c>
      <c r="F265" s="308">
        <v>21673000</v>
      </c>
      <c r="G265" s="308">
        <v>20739000</v>
      </c>
      <c r="H265" s="308">
        <v>18241000</v>
      </c>
      <c r="I265" s="308">
        <v>18241000</v>
      </c>
      <c r="S265" s="285"/>
      <c r="T265" s="3"/>
      <c r="AC265" s="285"/>
      <c r="AE265" s="3"/>
    </row>
    <row r="266" spans="1:31" ht="12.75">
      <c r="A266" s="306" t="s">
        <v>109</v>
      </c>
      <c r="B266" s="307">
        <v>4</v>
      </c>
      <c r="C266" s="308">
        <v>16567000</v>
      </c>
      <c r="D266" s="308">
        <v>13324000</v>
      </c>
      <c r="E266" s="308">
        <v>20729000</v>
      </c>
      <c r="F266" s="308">
        <v>24616000</v>
      </c>
      <c r="G266" s="308">
        <v>23656000</v>
      </c>
      <c r="H266" s="308">
        <v>20729000</v>
      </c>
      <c r="I266" s="308">
        <v>20729000</v>
      </c>
      <c r="S266" s="285"/>
      <c r="T266" s="3"/>
      <c r="AC266" s="285"/>
      <c r="AE266" s="3"/>
    </row>
    <row r="267" spans="1:31" ht="12.75">
      <c r="A267" s="306" t="s">
        <v>110</v>
      </c>
      <c r="B267" s="307">
        <v>5</v>
      </c>
      <c r="C267" s="308">
        <v>18539000</v>
      </c>
      <c r="D267" s="308">
        <v>14853000</v>
      </c>
      <c r="E267" s="308">
        <v>23623000</v>
      </c>
      <c r="F267" s="308">
        <v>28218000</v>
      </c>
      <c r="G267" s="308">
        <v>27005000</v>
      </c>
      <c r="H267" s="308">
        <v>23623000</v>
      </c>
      <c r="I267" s="308">
        <v>23623000</v>
      </c>
      <c r="S267" s="285"/>
      <c r="T267" s="3"/>
      <c r="AC267" s="285"/>
      <c r="AE267" s="3"/>
    </row>
    <row r="268" spans="1:31" ht="12.75">
      <c r="A268" s="306" t="s">
        <v>111</v>
      </c>
      <c r="B268" s="307">
        <v>6</v>
      </c>
      <c r="C268" s="308">
        <v>20535000</v>
      </c>
      <c r="D268" s="308">
        <v>16358000</v>
      </c>
      <c r="E268" s="308">
        <v>27818000</v>
      </c>
      <c r="F268" s="308">
        <v>32842000</v>
      </c>
      <c r="G268" s="308">
        <v>30277000</v>
      </c>
      <c r="H268" s="308">
        <v>26441000</v>
      </c>
      <c r="I268" s="308">
        <v>26441000</v>
      </c>
      <c r="S268" s="285"/>
      <c r="T268" s="3"/>
      <c r="AC268" s="285"/>
      <c r="AE268" s="3"/>
    </row>
    <row r="269" spans="1:31" ht="12.75">
      <c r="A269" s="306" t="s">
        <v>112</v>
      </c>
      <c r="B269" s="307">
        <v>7</v>
      </c>
      <c r="C269" s="308">
        <v>21963000</v>
      </c>
      <c r="D269" s="308">
        <v>17481000</v>
      </c>
      <c r="E269" s="308">
        <v>30573000</v>
      </c>
      <c r="F269" s="308">
        <v>35862000</v>
      </c>
      <c r="G269" s="308">
        <v>33485000</v>
      </c>
      <c r="H269" s="308">
        <v>29208000</v>
      </c>
      <c r="I269" s="308">
        <v>29208000</v>
      </c>
      <c r="S269" s="285"/>
      <c r="T269" s="3"/>
      <c r="AC269" s="285"/>
      <c r="AE269" s="3"/>
    </row>
    <row r="270" spans="1:31" ht="12.75">
      <c r="A270" s="306" t="s">
        <v>113</v>
      </c>
      <c r="B270" s="307">
        <v>8</v>
      </c>
      <c r="C270" s="308">
        <v>23049000</v>
      </c>
      <c r="D270" s="308">
        <v>18290000</v>
      </c>
      <c r="E270" s="308">
        <v>32658000</v>
      </c>
      <c r="F270" s="308">
        <v>38262000</v>
      </c>
      <c r="G270" s="308">
        <v>35862000</v>
      </c>
      <c r="H270" s="308">
        <v>31280000</v>
      </c>
      <c r="I270" s="308">
        <v>31280000</v>
      </c>
      <c r="S270" s="285"/>
      <c r="T270" s="3"/>
      <c r="AC270" s="285"/>
      <c r="AE270" s="3"/>
    </row>
    <row r="271" spans="19:31" ht="12.75">
      <c r="S271" s="285"/>
      <c r="T271" s="3"/>
      <c r="AC271" s="285"/>
      <c r="AE271" s="3"/>
    </row>
    <row r="272" spans="19:31" ht="12.75">
      <c r="S272" s="285"/>
      <c r="T272" s="3"/>
      <c r="AC272" s="285"/>
      <c r="AE272" s="3"/>
    </row>
    <row r="273" spans="19:31" ht="12.75">
      <c r="S273" s="285"/>
      <c r="T273" s="3"/>
      <c r="AC273" s="285"/>
      <c r="AE273" s="3"/>
    </row>
    <row r="274" spans="1:31" ht="15">
      <c r="A274" s="1" t="s">
        <v>209</v>
      </c>
      <c r="B274" s="1"/>
      <c r="C274" s="1"/>
      <c r="D274" s="1"/>
      <c r="F274" s="1"/>
      <c r="G274" s="1"/>
      <c r="H274" s="1"/>
      <c r="I274" s="1"/>
      <c r="S274" s="285"/>
      <c r="T274" s="3"/>
      <c r="AC274" s="285"/>
      <c r="AE274" s="3"/>
    </row>
    <row r="275" spans="1:31" ht="13.5" customHeight="1">
      <c r="A275" s="374"/>
      <c r="B275" s="303">
        <v>1</v>
      </c>
      <c r="C275" s="304" t="s">
        <v>96</v>
      </c>
      <c r="D275" s="375" t="s">
        <v>125</v>
      </c>
      <c r="E275" s="304" t="s">
        <v>128</v>
      </c>
      <c r="F275" s="304" t="s">
        <v>130</v>
      </c>
      <c r="G275" s="304" t="s">
        <v>127</v>
      </c>
      <c r="H275" s="304" t="s">
        <v>126</v>
      </c>
      <c r="I275" s="304" t="s">
        <v>129</v>
      </c>
      <c r="S275" s="285"/>
      <c r="T275" s="3"/>
      <c r="AC275" s="285"/>
      <c r="AE275" s="3"/>
    </row>
    <row r="276" spans="1:31" ht="12.75">
      <c r="A276" s="376" t="s">
        <v>107</v>
      </c>
      <c r="B276" s="307">
        <v>2</v>
      </c>
      <c r="C276" s="308">
        <v>26000</v>
      </c>
      <c r="D276" s="308">
        <v>23000</v>
      </c>
      <c r="E276" s="308">
        <v>30000</v>
      </c>
      <c r="F276" s="308">
        <v>32000</v>
      </c>
      <c r="G276" s="308">
        <v>32000</v>
      </c>
      <c r="H276" s="308">
        <v>30000</v>
      </c>
      <c r="I276" s="308">
        <v>30000</v>
      </c>
      <c r="S276" s="285"/>
      <c r="T276" s="3"/>
      <c r="AC276" s="285"/>
      <c r="AE276" s="3"/>
    </row>
    <row r="277" spans="1:31" ht="12.75">
      <c r="A277" s="376" t="s">
        <v>108</v>
      </c>
      <c r="B277" s="307">
        <v>3</v>
      </c>
      <c r="C277" s="308">
        <v>27000</v>
      </c>
      <c r="D277" s="308">
        <v>24000</v>
      </c>
      <c r="E277" s="308">
        <v>31000</v>
      </c>
      <c r="F277" s="308">
        <v>34000</v>
      </c>
      <c r="G277" s="308">
        <v>33000</v>
      </c>
      <c r="H277" s="308">
        <v>31000</v>
      </c>
      <c r="I277" s="308">
        <v>31000</v>
      </c>
      <c r="S277" s="285"/>
      <c r="T277" s="3"/>
      <c r="AC277" s="285"/>
      <c r="AE277" s="3"/>
    </row>
    <row r="278" spans="1:31" ht="12.75">
      <c r="A278" s="376" t="s">
        <v>109</v>
      </c>
      <c r="B278" s="307">
        <v>4</v>
      </c>
      <c r="C278" s="308">
        <v>29000</v>
      </c>
      <c r="D278" s="308">
        <v>25000</v>
      </c>
      <c r="E278" s="308">
        <v>33000</v>
      </c>
      <c r="F278" s="308">
        <v>37000</v>
      </c>
      <c r="G278" s="308">
        <v>36000</v>
      </c>
      <c r="H278" s="308">
        <v>33000</v>
      </c>
      <c r="I278" s="308">
        <v>33000</v>
      </c>
      <c r="S278" s="285"/>
      <c r="T278" s="3"/>
      <c r="AC278" s="285"/>
      <c r="AE278" s="3"/>
    </row>
    <row r="279" spans="1:31" ht="12.75">
      <c r="A279" s="376" t="s">
        <v>110</v>
      </c>
      <c r="B279" s="307">
        <v>5</v>
      </c>
      <c r="C279" s="308">
        <v>31000</v>
      </c>
      <c r="D279" s="308">
        <v>27000</v>
      </c>
      <c r="E279" s="308">
        <v>36000</v>
      </c>
      <c r="F279" s="308">
        <v>41000</v>
      </c>
      <c r="G279" s="308">
        <v>40000</v>
      </c>
      <c r="H279" s="308">
        <v>36000</v>
      </c>
      <c r="I279" s="308">
        <v>36000</v>
      </c>
      <c r="S279" s="285"/>
      <c r="T279" s="3"/>
      <c r="AC279" s="285"/>
      <c r="AE279" s="3"/>
    </row>
    <row r="280" spans="1:31" ht="12.75">
      <c r="A280" s="376" t="s">
        <v>111</v>
      </c>
      <c r="B280" s="307">
        <v>6</v>
      </c>
      <c r="C280" s="308">
        <v>33000</v>
      </c>
      <c r="D280" s="308">
        <v>28000</v>
      </c>
      <c r="E280" s="308">
        <v>40000</v>
      </c>
      <c r="F280" s="308">
        <v>45000</v>
      </c>
      <c r="G280" s="308">
        <v>43000</v>
      </c>
      <c r="H280" s="308">
        <v>39000</v>
      </c>
      <c r="I280" s="308">
        <v>39000</v>
      </c>
      <c r="S280" s="285"/>
      <c r="T280" s="3"/>
      <c r="AC280" s="285"/>
      <c r="AE280" s="3"/>
    </row>
    <row r="281" spans="1:31" ht="12.75">
      <c r="A281" s="376" t="s">
        <v>112</v>
      </c>
      <c r="B281" s="307">
        <v>7</v>
      </c>
      <c r="C281" s="308">
        <v>34000</v>
      </c>
      <c r="D281" s="308">
        <v>30000</v>
      </c>
      <c r="E281" s="308">
        <v>43000</v>
      </c>
      <c r="F281" s="308">
        <v>48000</v>
      </c>
      <c r="G281" s="308">
        <v>46000</v>
      </c>
      <c r="H281" s="308">
        <v>42000</v>
      </c>
      <c r="I281" s="308">
        <v>42000</v>
      </c>
      <c r="S281" s="285"/>
      <c r="T281" s="3"/>
      <c r="AC281" s="285"/>
      <c r="AE281" s="3"/>
    </row>
    <row r="282" spans="1:31" ht="12.75">
      <c r="A282" s="376" t="s">
        <v>113</v>
      </c>
      <c r="B282" s="307">
        <v>8</v>
      </c>
      <c r="C282" s="308">
        <v>35000</v>
      </c>
      <c r="D282" s="308">
        <v>30000</v>
      </c>
      <c r="E282" s="308">
        <v>45000</v>
      </c>
      <c r="F282" s="308">
        <v>51000</v>
      </c>
      <c r="G282" s="308">
        <v>48000</v>
      </c>
      <c r="H282" s="308">
        <v>44000</v>
      </c>
      <c r="I282" s="308">
        <v>44000</v>
      </c>
      <c r="S282" s="285"/>
      <c r="T282" s="3"/>
      <c r="AC282" s="285"/>
      <c r="AE282" s="3"/>
    </row>
    <row r="283" spans="1:31" ht="12.75">
      <c r="A283" s="328"/>
      <c r="B283" s="377"/>
      <c r="C283" s="218"/>
      <c r="D283" s="218"/>
      <c r="F283" s="218"/>
      <c r="G283" s="218"/>
      <c r="S283" s="285"/>
      <c r="T283" s="3"/>
      <c r="AC283" s="285"/>
      <c r="AE283" s="3"/>
    </row>
    <row r="284" spans="1:30" s="39" customFormat="1" ht="15">
      <c r="A284" s="378" t="s">
        <v>229</v>
      </c>
      <c r="B284" s="378"/>
      <c r="C284" s="378"/>
      <c r="D284" s="378"/>
      <c r="F284" s="378"/>
      <c r="G284" s="378"/>
      <c r="H284" s="378"/>
      <c r="I284" s="378"/>
      <c r="S284" s="184"/>
      <c r="AC284" s="184"/>
      <c r="AD284" s="184"/>
    </row>
    <row r="285" spans="1:31" ht="10.5" customHeight="1">
      <c r="A285" s="374"/>
      <c r="B285" s="303">
        <v>1</v>
      </c>
      <c r="C285" s="304" t="s">
        <v>96</v>
      </c>
      <c r="D285" s="375" t="s">
        <v>125</v>
      </c>
      <c r="E285" s="304" t="s">
        <v>128</v>
      </c>
      <c r="F285" s="304" t="s">
        <v>130</v>
      </c>
      <c r="G285" s="304" t="s">
        <v>127</v>
      </c>
      <c r="H285" s="304" t="s">
        <v>126</v>
      </c>
      <c r="I285" s="304" t="s">
        <v>129</v>
      </c>
      <c r="S285" s="285"/>
      <c r="T285" s="3"/>
      <c r="AC285" s="285"/>
      <c r="AE285" s="3"/>
    </row>
    <row r="286" spans="1:31" ht="12.75">
      <c r="A286" s="376" t="s">
        <v>107</v>
      </c>
      <c r="B286" s="307">
        <v>2</v>
      </c>
      <c r="C286" s="308">
        <f>C276*12+C264</f>
        <v>14201000</v>
      </c>
      <c r="D286" s="308">
        <f aca="true" t="shared" si="15" ref="D286:I286">D276*12+D264</f>
        <v>11516000</v>
      </c>
      <c r="E286" s="308">
        <f t="shared" si="15"/>
        <v>17806000</v>
      </c>
      <c r="F286" s="308">
        <f t="shared" si="15"/>
        <v>20237000</v>
      </c>
      <c r="G286" s="308">
        <f t="shared" si="15"/>
        <v>20237000</v>
      </c>
      <c r="H286" s="308">
        <f t="shared" si="15"/>
        <v>17806000</v>
      </c>
      <c r="I286" s="308">
        <f t="shared" si="15"/>
        <v>17806000</v>
      </c>
      <c r="S286" s="285"/>
      <c r="T286" s="3"/>
      <c r="AC286" s="285"/>
      <c r="AE286" s="3"/>
    </row>
    <row r="287" spans="1:31" ht="12.75">
      <c r="A287" s="376" t="s">
        <v>108</v>
      </c>
      <c r="B287" s="307">
        <v>3</v>
      </c>
      <c r="C287" s="308">
        <f aca="true" t="shared" si="16" ref="C287:I292">C277*12+C265</f>
        <v>14793000</v>
      </c>
      <c r="D287" s="308">
        <f t="shared" si="16"/>
        <v>11970000</v>
      </c>
      <c r="E287" s="308">
        <f t="shared" si="16"/>
        <v>18613000</v>
      </c>
      <c r="F287" s="308">
        <f t="shared" si="16"/>
        <v>22081000</v>
      </c>
      <c r="G287" s="308">
        <f t="shared" si="16"/>
        <v>21135000</v>
      </c>
      <c r="H287" s="308">
        <f t="shared" si="16"/>
        <v>18613000</v>
      </c>
      <c r="I287" s="308">
        <f t="shared" si="16"/>
        <v>18613000</v>
      </c>
      <c r="S287" s="285"/>
      <c r="T287" s="3"/>
      <c r="AC287" s="285"/>
      <c r="AE287" s="3"/>
    </row>
    <row r="288" spans="1:31" ht="12.75">
      <c r="A288" s="376" t="s">
        <v>109</v>
      </c>
      <c r="B288" s="307">
        <v>4</v>
      </c>
      <c r="C288" s="308">
        <f t="shared" si="16"/>
        <v>16915000</v>
      </c>
      <c r="D288" s="308">
        <f t="shared" si="16"/>
        <v>13624000</v>
      </c>
      <c r="E288" s="308">
        <f t="shared" si="16"/>
        <v>21125000</v>
      </c>
      <c r="F288" s="308">
        <f t="shared" si="16"/>
        <v>25060000</v>
      </c>
      <c r="G288" s="308">
        <f t="shared" si="16"/>
        <v>24088000</v>
      </c>
      <c r="H288" s="308">
        <f t="shared" si="16"/>
        <v>21125000</v>
      </c>
      <c r="I288" s="308">
        <f t="shared" si="16"/>
        <v>21125000</v>
      </c>
      <c r="S288" s="285"/>
      <c r="T288" s="3"/>
      <c r="AC288" s="285"/>
      <c r="AE288" s="3"/>
    </row>
    <row r="289" spans="1:31" ht="12.75">
      <c r="A289" s="376" t="s">
        <v>110</v>
      </c>
      <c r="B289" s="307">
        <v>5</v>
      </c>
      <c r="C289" s="308">
        <f t="shared" si="16"/>
        <v>18911000</v>
      </c>
      <c r="D289" s="308">
        <f t="shared" si="16"/>
        <v>15177000</v>
      </c>
      <c r="E289" s="308">
        <f t="shared" si="16"/>
        <v>24055000</v>
      </c>
      <c r="F289" s="308">
        <f t="shared" si="16"/>
        <v>28710000</v>
      </c>
      <c r="G289" s="308">
        <f t="shared" si="16"/>
        <v>27485000</v>
      </c>
      <c r="H289" s="308">
        <f t="shared" si="16"/>
        <v>24055000</v>
      </c>
      <c r="I289" s="308">
        <f t="shared" si="16"/>
        <v>24055000</v>
      </c>
      <c r="S289" s="285"/>
      <c r="T289" s="3"/>
      <c r="AC289" s="285"/>
      <c r="AE289" s="3"/>
    </row>
    <row r="290" spans="1:31" ht="12.75">
      <c r="A290" s="376" t="s">
        <v>111</v>
      </c>
      <c r="B290" s="307">
        <v>6</v>
      </c>
      <c r="C290" s="308">
        <f t="shared" si="16"/>
        <v>20931000</v>
      </c>
      <c r="D290" s="308">
        <f t="shared" si="16"/>
        <v>16694000</v>
      </c>
      <c r="E290" s="308">
        <f t="shared" si="16"/>
        <v>28298000</v>
      </c>
      <c r="F290" s="308">
        <f t="shared" si="16"/>
        <v>33382000</v>
      </c>
      <c r="G290" s="308">
        <f t="shared" si="16"/>
        <v>30793000</v>
      </c>
      <c r="H290" s="308">
        <f t="shared" si="16"/>
        <v>26909000</v>
      </c>
      <c r="I290" s="308">
        <f t="shared" si="16"/>
        <v>26909000</v>
      </c>
      <c r="S290" s="285"/>
      <c r="T290" s="3"/>
      <c r="AC290" s="285"/>
      <c r="AE290" s="3"/>
    </row>
    <row r="291" spans="1:31" ht="12.75">
      <c r="A291" s="376" t="s">
        <v>112</v>
      </c>
      <c r="B291" s="307">
        <v>7</v>
      </c>
      <c r="C291" s="308">
        <f t="shared" si="16"/>
        <v>22371000</v>
      </c>
      <c r="D291" s="308">
        <f t="shared" si="16"/>
        <v>17841000</v>
      </c>
      <c r="E291" s="308">
        <f t="shared" si="16"/>
        <v>31089000</v>
      </c>
      <c r="F291" s="308">
        <f t="shared" si="16"/>
        <v>36438000</v>
      </c>
      <c r="G291" s="308">
        <f t="shared" si="16"/>
        <v>34037000</v>
      </c>
      <c r="H291" s="308">
        <f t="shared" si="16"/>
        <v>29712000</v>
      </c>
      <c r="I291" s="308">
        <f t="shared" si="16"/>
        <v>29712000</v>
      </c>
      <c r="S291" s="285"/>
      <c r="T291" s="3"/>
      <c r="AC291" s="285"/>
      <c r="AE291" s="3"/>
    </row>
    <row r="292" spans="1:31" ht="12.75">
      <c r="A292" s="376" t="s">
        <v>113</v>
      </c>
      <c r="B292" s="307">
        <v>8</v>
      </c>
      <c r="C292" s="308">
        <f t="shared" si="16"/>
        <v>23469000</v>
      </c>
      <c r="D292" s="308">
        <f t="shared" si="16"/>
        <v>18650000</v>
      </c>
      <c r="E292" s="308">
        <f t="shared" si="16"/>
        <v>33198000</v>
      </c>
      <c r="F292" s="308">
        <f t="shared" si="16"/>
        <v>38874000</v>
      </c>
      <c r="G292" s="308">
        <f t="shared" si="16"/>
        <v>36438000</v>
      </c>
      <c r="H292" s="308">
        <f t="shared" si="16"/>
        <v>31808000</v>
      </c>
      <c r="I292" s="308">
        <f t="shared" si="16"/>
        <v>31808000</v>
      </c>
      <c r="S292" s="285"/>
      <c r="T292" s="3"/>
      <c r="AC292" s="285"/>
      <c r="AE292" s="3"/>
    </row>
    <row r="293" spans="1:31" ht="12.75">
      <c r="A293" s="328"/>
      <c r="B293" s="377"/>
      <c r="C293" s="218"/>
      <c r="D293" s="218"/>
      <c r="F293" s="218"/>
      <c r="G293" s="218"/>
      <c r="S293" s="285"/>
      <c r="T293" s="3"/>
      <c r="AC293" s="285"/>
      <c r="AE293" s="3"/>
    </row>
    <row r="294" spans="1:31" ht="12.75">
      <c r="A294" s="328"/>
      <c r="B294" s="377"/>
      <c r="C294" s="218"/>
      <c r="D294" s="218"/>
      <c r="F294" s="218"/>
      <c r="G294" s="218"/>
      <c r="S294" s="285"/>
      <c r="T294" s="3"/>
      <c r="AC294" s="285"/>
      <c r="AE294" s="3"/>
    </row>
    <row r="295" spans="1:31" ht="13.5" customHeight="1">
      <c r="A295" s="1" t="s">
        <v>191</v>
      </c>
      <c r="B295" s="377"/>
      <c r="D295" s="1" t="s">
        <v>117</v>
      </c>
      <c r="F295" s="218"/>
      <c r="G295" s="218"/>
      <c r="S295" s="285"/>
      <c r="T295" s="3"/>
      <c r="AC295" s="285"/>
      <c r="AE295" s="3"/>
    </row>
    <row r="296" spans="1:31" ht="12.75">
      <c r="A296" s="9"/>
      <c r="S296" s="285"/>
      <c r="T296" s="3"/>
      <c r="AC296" s="285"/>
      <c r="AE296" s="3"/>
    </row>
    <row r="297" spans="1:31" ht="24.75">
      <c r="A297" s="379"/>
      <c r="C297" s="304" t="s">
        <v>102</v>
      </c>
      <c r="D297" s="304" t="s">
        <v>101</v>
      </c>
      <c r="E297" s="304" t="s">
        <v>104</v>
      </c>
      <c r="F297" s="304" t="s">
        <v>106</v>
      </c>
      <c r="G297" s="304" t="s">
        <v>105</v>
      </c>
      <c r="H297" s="304" t="s">
        <v>91</v>
      </c>
      <c r="I297" s="304" t="s">
        <v>103</v>
      </c>
      <c r="S297" s="285"/>
      <c r="T297" s="3"/>
      <c r="AC297" s="285"/>
      <c r="AE297" s="3"/>
    </row>
    <row r="298" spans="1:31" ht="15">
      <c r="A298" s="374"/>
      <c r="B298" s="303">
        <v>1</v>
      </c>
      <c r="C298" s="304" t="s">
        <v>96</v>
      </c>
      <c r="D298" s="375" t="s">
        <v>125</v>
      </c>
      <c r="E298" s="304" t="s">
        <v>128</v>
      </c>
      <c r="F298" s="304" t="s">
        <v>130</v>
      </c>
      <c r="G298" s="304" t="s">
        <v>127</v>
      </c>
      <c r="H298" s="304" t="s">
        <v>126</v>
      </c>
      <c r="I298" s="304" t="s">
        <v>129</v>
      </c>
      <c r="S298" s="285"/>
      <c r="T298" s="3"/>
      <c r="AC298" s="285"/>
      <c r="AE298" s="3"/>
    </row>
    <row r="299" spans="1:31" ht="12.75">
      <c r="A299" s="376" t="s">
        <v>107</v>
      </c>
      <c r="B299" s="307">
        <v>2</v>
      </c>
      <c r="C299" s="308">
        <v>44000</v>
      </c>
      <c r="D299" s="308">
        <v>39000</v>
      </c>
      <c r="E299" s="308">
        <v>50000</v>
      </c>
      <c r="F299" s="308">
        <v>54000</v>
      </c>
      <c r="G299" s="308">
        <v>54000</v>
      </c>
      <c r="H299" s="308">
        <v>50000</v>
      </c>
      <c r="I299" s="308">
        <v>50000</v>
      </c>
      <c r="S299" s="285"/>
      <c r="T299" s="3"/>
      <c r="AC299" s="285"/>
      <c r="AE299" s="3"/>
    </row>
    <row r="300" spans="1:31" ht="12.75">
      <c r="A300" s="376" t="s">
        <v>108</v>
      </c>
      <c r="B300" s="307">
        <v>3</v>
      </c>
      <c r="C300" s="308">
        <v>45000</v>
      </c>
      <c r="D300" s="308">
        <v>40000</v>
      </c>
      <c r="E300" s="308">
        <v>52000</v>
      </c>
      <c r="F300" s="308">
        <v>58000</v>
      </c>
      <c r="G300" s="308">
        <v>56000</v>
      </c>
      <c r="H300" s="308">
        <v>52000</v>
      </c>
      <c r="I300" s="308">
        <v>52000</v>
      </c>
      <c r="S300" s="285"/>
      <c r="T300" s="3"/>
      <c r="AC300" s="285"/>
      <c r="AE300" s="3"/>
    </row>
    <row r="301" spans="1:31" ht="12.75">
      <c r="A301" s="376" t="s">
        <v>109</v>
      </c>
      <c r="B301" s="307">
        <v>4</v>
      </c>
      <c r="C301" s="308">
        <v>48000</v>
      </c>
      <c r="D301" s="308">
        <v>43000</v>
      </c>
      <c r="E301" s="308">
        <v>56000</v>
      </c>
      <c r="F301" s="308">
        <v>62000</v>
      </c>
      <c r="G301" s="308">
        <v>61000</v>
      </c>
      <c r="H301" s="308">
        <v>56000</v>
      </c>
      <c r="I301" s="308">
        <v>56000</v>
      </c>
      <c r="S301" s="285"/>
      <c r="T301" s="3"/>
      <c r="AC301" s="285"/>
      <c r="AE301" s="3"/>
    </row>
    <row r="302" spans="1:31" ht="12.75">
      <c r="A302" s="376" t="s">
        <v>110</v>
      </c>
      <c r="B302" s="307">
        <v>5</v>
      </c>
      <c r="C302" s="308">
        <v>52000</v>
      </c>
      <c r="D302" s="308">
        <v>45000</v>
      </c>
      <c r="E302" s="308">
        <v>61000</v>
      </c>
      <c r="F302" s="308">
        <v>69000</v>
      </c>
      <c r="G302" s="308">
        <v>67000</v>
      </c>
      <c r="H302" s="308">
        <v>61000</v>
      </c>
      <c r="I302" s="308">
        <v>61000</v>
      </c>
      <c r="S302" s="285"/>
      <c r="T302" s="3"/>
      <c r="AC302" s="285"/>
      <c r="AE302" s="3"/>
    </row>
    <row r="303" spans="1:31" ht="12.75">
      <c r="A303" s="376" t="s">
        <v>111</v>
      </c>
      <c r="B303" s="307">
        <v>6</v>
      </c>
      <c r="C303" s="308">
        <v>55000</v>
      </c>
      <c r="D303" s="308">
        <v>48000</v>
      </c>
      <c r="E303" s="308">
        <v>68000</v>
      </c>
      <c r="F303" s="308">
        <v>76000</v>
      </c>
      <c r="G303" s="308">
        <v>72000</v>
      </c>
      <c r="H303" s="308">
        <v>65000</v>
      </c>
      <c r="I303" s="308">
        <v>65000</v>
      </c>
      <c r="S303" s="285"/>
      <c r="T303" s="3"/>
      <c r="AC303" s="285"/>
      <c r="AE303" s="3"/>
    </row>
    <row r="304" spans="1:31" ht="12.75">
      <c r="A304" s="376" t="s">
        <v>112</v>
      </c>
      <c r="B304" s="307">
        <v>7</v>
      </c>
      <c r="C304" s="308">
        <v>57000</v>
      </c>
      <c r="D304" s="308">
        <v>50000</v>
      </c>
      <c r="E304" s="308">
        <v>72000</v>
      </c>
      <c r="F304" s="308">
        <v>81000</v>
      </c>
      <c r="G304" s="308">
        <v>77000</v>
      </c>
      <c r="H304" s="308">
        <v>70000</v>
      </c>
      <c r="I304" s="308">
        <v>70000</v>
      </c>
      <c r="S304" s="285"/>
      <c r="T304" s="3"/>
      <c r="AC304" s="285"/>
      <c r="AE304" s="3"/>
    </row>
    <row r="305" spans="1:31" ht="12.75">
      <c r="A305" s="376" t="s">
        <v>113</v>
      </c>
      <c r="B305" s="307">
        <v>8</v>
      </c>
      <c r="C305" s="308">
        <v>59000</v>
      </c>
      <c r="D305" s="308">
        <v>51000</v>
      </c>
      <c r="E305" s="308">
        <v>76000</v>
      </c>
      <c r="F305" s="308">
        <v>85000</v>
      </c>
      <c r="G305" s="308">
        <v>81000</v>
      </c>
      <c r="H305" s="308">
        <v>73000</v>
      </c>
      <c r="I305" s="308">
        <v>73000</v>
      </c>
      <c r="S305" s="285"/>
      <c r="T305" s="3"/>
      <c r="AC305" s="285"/>
      <c r="AE305" s="3"/>
    </row>
    <row r="306" spans="19:31" ht="12.75">
      <c r="S306" s="285"/>
      <c r="T306" s="3"/>
      <c r="AC306" s="285"/>
      <c r="AE306" s="3"/>
    </row>
    <row r="307" spans="1:30" s="34" customFormat="1" ht="15">
      <c r="A307" s="380" t="s">
        <v>118</v>
      </c>
      <c r="S307" s="355"/>
      <c r="AC307" s="355"/>
      <c r="AD307" s="355"/>
    </row>
    <row r="308" spans="3:31" ht="12.75">
      <c r="C308" s="145" t="s">
        <v>96</v>
      </c>
      <c r="D308" s="145" t="s">
        <v>125</v>
      </c>
      <c r="E308" s="145" t="s">
        <v>128</v>
      </c>
      <c r="F308" s="145" t="s">
        <v>130</v>
      </c>
      <c r="G308" s="145" t="s">
        <v>127</v>
      </c>
      <c r="H308" s="145" t="s">
        <v>126</v>
      </c>
      <c r="I308" s="145" t="s">
        <v>129</v>
      </c>
      <c r="S308" s="285"/>
      <c r="T308" s="3"/>
      <c r="AC308" s="285"/>
      <c r="AE308" s="3"/>
    </row>
    <row r="309" spans="1:31" ht="26.25" customHeight="1">
      <c r="A309" s="361" t="s">
        <v>116</v>
      </c>
      <c r="B309" s="303"/>
      <c r="C309" s="304" t="s">
        <v>102</v>
      </c>
      <c r="D309" s="305" t="s">
        <v>101</v>
      </c>
      <c r="E309" s="304" t="s">
        <v>132</v>
      </c>
      <c r="F309" s="304" t="s">
        <v>133</v>
      </c>
      <c r="G309" s="304" t="s">
        <v>105</v>
      </c>
      <c r="H309" s="304" t="s">
        <v>91</v>
      </c>
      <c r="I309" s="304" t="s">
        <v>103</v>
      </c>
      <c r="S309" s="285"/>
      <c r="T309" s="3"/>
      <c r="AC309" s="285"/>
      <c r="AE309" s="3"/>
    </row>
    <row r="310" spans="1:31" ht="13.5" customHeight="1">
      <c r="A310" s="361"/>
      <c r="B310" s="303">
        <v>1</v>
      </c>
      <c r="C310" s="304" t="s">
        <v>96</v>
      </c>
      <c r="D310" s="375" t="s">
        <v>125</v>
      </c>
      <c r="E310" s="304" t="s">
        <v>128</v>
      </c>
      <c r="F310" s="304" t="s">
        <v>130</v>
      </c>
      <c r="G310" s="304" t="s">
        <v>127</v>
      </c>
      <c r="H310" s="304" t="s">
        <v>126</v>
      </c>
      <c r="I310" s="304" t="s">
        <v>129</v>
      </c>
      <c r="S310" s="285"/>
      <c r="T310" s="3"/>
      <c r="AC310" s="285"/>
      <c r="AE310" s="3"/>
    </row>
    <row r="311" spans="1:31" ht="12.75">
      <c r="A311" s="306" t="s">
        <v>107</v>
      </c>
      <c r="B311" s="307">
        <v>2</v>
      </c>
      <c r="C311" s="308">
        <v>14729000</v>
      </c>
      <c r="D311" s="381">
        <v>11984000</v>
      </c>
      <c r="E311" s="308">
        <v>18406000</v>
      </c>
      <c r="F311" s="308">
        <v>20885000</v>
      </c>
      <c r="G311" s="308">
        <v>20885000</v>
      </c>
      <c r="H311" s="308">
        <v>18406000</v>
      </c>
      <c r="I311" s="308">
        <v>18406000</v>
      </c>
      <c r="S311" s="285"/>
      <c r="T311" s="3"/>
      <c r="AC311" s="285"/>
      <c r="AE311" s="3"/>
    </row>
    <row r="312" spans="1:31" ht="12.75">
      <c r="A312" s="306" t="s">
        <v>108</v>
      </c>
      <c r="B312" s="307">
        <v>3</v>
      </c>
      <c r="C312" s="308">
        <v>15333000</v>
      </c>
      <c r="D312" s="381">
        <v>12450000</v>
      </c>
      <c r="E312" s="308">
        <v>19237000</v>
      </c>
      <c r="F312" s="308">
        <v>22777000</v>
      </c>
      <c r="G312" s="308">
        <v>21807000</v>
      </c>
      <c r="H312" s="308">
        <v>19237000</v>
      </c>
      <c r="I312" s="308">
        <v>19237000</v>
      </c>
      <c r="S312" s="285"/>
      <c r="T312" s="3"/>
      <c r="AC312" s="285"/>
      <c r="AE312" s="3"/>
    </row>
    <row r="313" spans="1:31" ht="12.75">
      <c r="A313" s="306" t="s">
        <v>109</v>
      </c>
      <c r="B313" s="307">
        <v>4</v>
      </c>
      <c r="C313" s="308">
        <v>17491000</v>
      </c>
      <c r="D313" s="381">
        <v>14140000</v>
      </c>
      <c r="E313" s="308">
        <v>21797000</v>
      </c>
      <c r="F313" s="308">
        <v>25804000</v>
      </c>
      <c r="G313" s="308">
        <v>24820000</v>
      </c>
      <c r="H313" s="308">
        <v>21797000</v>
      </c>
      <c r="I313" s="308">
        <v>21797000</v>
      </c>
      <c r="S313" s="285"/>
      <c r="T313" s="3"/>
      <c r="AC313" s="285"/>
      <c r="AE313" s="3"/>
    </row>
    <row r="314" spans="1:31" ht="12.75">
      <c r="A314" s="306" t="s">
        <v>110</v>
      </c>
      <c r="B314" s="307">
        <v>5</v>
      </c>
      <c r="C314" s="308">
        <v>19535000</v>
      </c>
      <c r="D314" s="381">
        <v>15717000</v>
      </c>
      <c r="E314" s="308">
        <v>24787000</v>
      </c>
      <c r="F314" s="308">
        <v>29538000</v>
      </c>
      <c r="G314" s="308">
        <v>28289000</v>
      </c>
      <c r="H314" s="308">
        <v>24787000</v>
      </c>
      <c r="I314" s="308">
        <v>24787000</v>
      </c>
      <c r="S314" s="285"/>
      <c r="T314" s="3"/>
      <c r="AC314" s="285"/>
      <c r="AE314" s="3"/>
    </row>
    <row r="315" spans="1:31" ht="12.75">
      <c r="A315" s="306" t="s">
        <v>111</v>
      </c>
      <c r="B315" s="307">
        <v>6</v>
      </c>
      <c r="C315" s="308">
        <v>21591000</v>
      </c>
      <c r="D315" s="381">
        <v>17270000</v>
      </c>
      <c r="E315" s="308">
        <v>29114000</v>
      </c>
      <c r="F315" s="308">
        <v>34294000</v>
      </c>
      <c r="G315" s="308">
        <v>31657000</v>
      </c>
      <c r="H315" s="308">
        <v>27689000</v>
      </c>
      <c r="I315" s="308">
        <v>27689000</v>
      </c>
      <c r="S315" s="285"/>
      <c r="T315" s="3"/>
      <c r="AC315" s="285"/>
      <c r="AE315" s="3"/>
    </row>
    <row r="316" spans="1:31" ht="12.75">
      <c r="A316" s="306" t="s">
        <v>112</v>
      </c>
      <c r="B316" s="307">
        <v>7</v>
      </c>
      <c r="C316" s="308">
        <v>23055000</v>
      </c>
      <c r="D316" s="381">
        <v>18441000</v>
      </c>
      <c r="E316" s="308">
        <v>31953000</v>
      </c>
      <c r="F316" s="308">
        <v>37410000</v>
      </c>
      <c r="G316" s="308">
        <v>34961000</v>
      </c>
      <c r="H316" s="308">
        <v>30552000</v>
      </c>
      <c r="I316" s="308">
        <v>30552000</v>
      </c>
      <c r="S316" s="285"/>
      <c r="T316" s="3"/>
      <c r="AC316" s="285"/>
      <c r="AE316" s="3"/>
    </row>
    <row r="317" spans="1:31" ht="12.75">
      <c r="A317" s="306" t="s">
        <v>113</v>
      </c>
      <c r="B317" s="307">
        <v>8</v>
      </c>
      <c r="C317" s="308">
        <v>24177000</v>
      </c>
      <c r="D317" s="381">
        <v>19262000</v>
      </c>
      <c r="E317" s="308">
        <v>34110000</v>
      </c>
      <c r="F317" s="308">
        <v>39894000</v>
      </c>
      <c r="G317" s="308">
        <v>37410000</v>
      </c>
      <c r="H317" s="308">
        <v>32684000</v>
      </c>
      <c r="I317" s="308">
        <v>32684000</v>
      </c>
      <c r="S317" s="285"/>
      <c r="T317" s="3"/>
      <c r="AC317" s="285"/>
      <c r="AE317" s="3"/>
    </row>
    <row r="318" spans="1:31" ht="12.75">
      <c r="A318" s="328"/>
      <c r="B318" s="218"/>
      <c r="D318" s="218"/>
      <c r="E318" s="218"/>
      <c r="F318" s="218"/>
      <c r="G318" s="218"/>
      <c r="H318" s="218"/>
      <c r="I318" s="218"/>
      <c r="S318" s="285"/>
      <c r="T318" s="3"/>
      <c r="AC318" s="285"/>
      <c r="AE318" s="3"/>
    </row>
    <row r="319" spans="1:31" ht="13.5">
      <c r="A319" s="382" t="s">
        <v>210</v>
      </c>
      <c r="B319" s="218"/>
      <c r="D319" s="383" t="s">
        <v>123</v>
      </c>
      <c r="E319" s="218"/>
      <c r="F319" s="218"/>
      <c r="G319" s="218"/>
      <c r="H319" s="218"/>
      <c r="I319" s="218"/>
      <c r="S319" s="285"/>
      <c r="T319" s="3"/>
      <c r="AC319" s="285"/>
      <c r="AE319" s="3"/>
    </row>
    <row r="320" spans="1:31" ht="12.75">
      <c r="A320" s="361"/>
      <c r="B320" s="303">
        <v>1</v>
      </c>
      <c r="C320" s="304" t="s">
        <v>128</v>
      </c>
      <c r="D320" s="304" t="s">
        <v>130</v>
      </c>
      <c r="E320" s="304" t="s">
        <v>127</v>
      </c>
      <c r="F320" s="304" t="s">
        <v>129</v>
      </c>
      <c r="S320" s="285"/>
      <c r="T320" s="3"/>
      <c r="AC320" s="285"/>
      <c r="AE320" s="3"/>
    </row>
    <row r="321" spans="1:31" ht="12.75">
      <c r="A321" s="306" t="s">
        <v>107</v>
      </c>
      <c r="B321" s="307">
        <v>2</v>
      </c>
      <c r="C321" s="308">
        <v>2592000</v>
      </c>
      <c r="D321" s="308">
        <v>2592000</v>
      </c>
      <c r="E321" s="308">
        <v>2592000</v>
      </c>
      <c r="F321" s="308">
        <v>2592000</v>
      </c>
      <c r="S321" s="285"/>
      <c r="T321" s="3"/>
      <c r="AC321" s="285"/>
      <c r="AE321" s="3"/>
    </row>
    <row r="322" spans="1:31" ht="12.75">
      <c r="A322" s="306" t="s">
        <v>108</v>
      </c>
      <c r="B322" s="307">
        <v>3</v>
      </c>
      <c r="C322" s="308">
        <v>2592000</v>
      </c>
      <c r="D322" s="308">
        <v>2592000</v>
      </c>
      <c r="E322" s="308">
        <v>2592000</v>
      </c>
      <c r="F322" s="308">
        <v>2592000</v>
      </c>
      <c r="S322" s="285"/>
      <c r="T322" s="3"/>
      <c r="AC322" s="285"/>
      <c r="AE322" s="3"/>
    </row>
    <row r="323" spans="1:31" ht="12.75">
      <c r="A323" s="306" t="s">
        <v>109</v>
      </c>
      <c r="B323" s="307">
        <v>4</v>
      </c>
      <c r="C323" s="308">
        <v>2592000</v>
      </c>
      <c r="D323" s="308">
        <v>2592000</v>
      </c>
      <c r="E323" s="308">
        <v>2592000</v>
      </c>
      <c r="F323" s="308">
        <v>2592000</v>
      </c>
      <c r="S323" s="285"/>
      <c r="T323" s="3"/>
      <c r="AC323" s="285"/>
      <c r="AE323" s="3"/>
    </row>
    <row r="324" spans="1:31" ht="12.75">
      <c r="A324" s="306" t="s">
        <v>110</v>
      </c>
      <c r="B324" s="307">
        <v>5</v>
      </c>
      <c r="C324" s="308">
        <v>3228000</v>
      </c>
      <c r="D324" s="308">
        <v>3228000</v>
      </c>
      <c r="E324" s="308">
        <v>3228000</v>
      </c>
      <c r="F324" s="308">
        <v>3228000</v>
      </c>
      <c r="S324" s="285"/>
      <c r="T324" s="3"/>
      <c r="AC324" s="285"/>
      <c r="AE324" s="3"/>
    </row>
    <row r="325" spans="1:31" ht="12.75">
      <c r="A325" s="306" t="s">
        <v>111</v>
      </c>
      <c r="B325" s="307">
        <v>6</v>
      </c>
      <c r="C325" s="308">
        <v>3228000</v>
      </c>
      <c r="D325" s="308">
        <v>3228000</v>
      </c>
      <c r="E325" s="308">
        <v>3228000</v>
      </c>
      <c r="F325" s="308">
        <v>3228000</v>
      </c>
      <c r="S325" s="285"/>
      <c r="T325" s="3"/>
      <c r="AC325" s="285"/>
      <c r="AE325" s="3"/>
    </row>
    <row r="326" spans="1:31" ht="12.75">
      <c r="A326" s="306" t="s">
        <v>112</v>
      </c>
      <c r="B326" s="307">
        <v>7</v>
      </c>
      <c r="C326" s="308">
        <v>3612000</v>
      </c>
      <c r="D326" s="308">
        <v>3612000</v>
      </c>
      <c r="E326" s="308">
        <v>3612000</v>
      </c>
      <c r="F326" s="308">
        <v>3612000</v>
      </c>
      <c r="S326" s="285"/>
      <c r="T326" s="3"/>
      <c r="AC326" s="285"/>
      <c r="AE326" s="3"/>
    </row>
    <row r="327" spans="1:31" ht="12.75">
      <c r="A327" s="306" t="s">
        <v>113</v>
      </c>
      <c r="B327" s="307">
        <v>8</v>
      </c>
      <c r="C327" s="308">
        <v>3612000</v>
      </c>
      <c r="D327" s="308">
        <v>3612000</v>
      </c>
      <c r="E327" s="308">
        <v>3612000</v>
      </c>
      <c r="F327" s="308">
        <v>3612000</v>
      </c>
      <c r="S327" s="285"/>
      <c r="T327" s="3"/>
      <c r="AC327" s="285"/>
      <c r="AE327" s="3"/>
    </row>
    <row r="328" spans="1:31" ht="12.75">
      <c r="A328" s="328"/>
      <c r="B328" s="218"/>
      <c r="D328" s="218"/>
      <c r="E328" s="218"/>
      <c r="F328" s="218"/>
      <c r="G328" s="218"/>
      <c r="H328" s="218"/>
      <c r="I328" s="218"/>
      <c r="S328" s="285"/>
      <c r="T328" s="3"/>
      <c r="AC328" s="285"/>
      <c r="AE328" s="3"/>
    </row>
    <row r="329" spans="1:31" ht="12.75">
      <c r="A329" s="328"/>
      <c r="B329" s="218"/>
      <c r="C329" s="218"/>
      <c r="D329" s="218"/>
      <c r="E329" s="218"/>
      <c r="F329" s="218"/>
      <c r="G329" s="218"/>
      <c r="H329" s="218"/>
      <c r="I329" s="218"/>
      <c r="S329" s="285"/>
      <c r="T329" s="3"/>
      <c r="AC329" s="285"/>
      <c r="AE329" s="3"/>
    </row>
    <row r="330" spans="1:31" ht="26.25">
      <c r="A330" s="384" t="s">
        <v>137</v>
      </c>
      <c r="B330" s="385" t="s">
        <v>136</v>
      </c>
      <c r="C330" s="385" t="s">
        <v>123</v>
      </c>
      <c r="D330" s="386"/>
      <c r="E330" s="386"/>
      <c r="F330" s="386" t="s">
        <v>211</v>
      </c>
      <c r="G330" s="386" t="s">
        <v>212</v>
      </c>
      <c r="H330" s="386"/>
      <c r="I330" s="386"/>
      <c r="S330" s="285"/>
      <c r="T330" s="3"/>
      <c r="AC330" s="285"/>
      <c r="AE330" s="3"/>
    </row>
    <row r="331" spans="1:31" ht="15">
      <c r="A331" s="387" t="s">
        <v>138</v>
      </c>
      <c r="B331" s="388">
        <v>120000</v>
      </c>
      <c r="C331" s="389" t="s">
        <v>119</v>
      </c>
      <c r="D331" s="388">
        <v>96000</v>
      </c>
      <c r="E331" s="389" t="s">
        <v>120</v>
      </c>
      <c r="F331" s="390">
        <v>216000</v>
      </c>
      <c r="G331" s="218">
        <f>F331*12</f>
        <v>2592000</v>
      </c>
      <c r="H331" s="218"/>
      <c r="I331" s="218"/>
      <c r="S331" s="285"/>
      <c r="T331" s="3"/>
      <c r="AC331" s="285"/>
      <c r="AE331" s="3"/>
    </row>
    <row r="332" spans="1:31" ht="15">
      <c r="A332" s="387" t="s">
        <v>121</v>
      </c>
      <c r="B332" s="391">
        <v>173000</v>
      </c>
      <c r="C332" s="392" t="s">
        <v>119</v>
      </c>
      <c r="D332" s="391">
        <v>96000</v>
      </c>
      <c r="E332" s="392" t="s">
        <v>120</v>
      </c>
      <c r="F332" s="393">
        <v>269000</v>
      </c>
      <c r="G332" s="218">
        <f>F332*12</f>
        <v>3228000</v>
      </c>
      <c r="H332" s="218"/>
      <c r="I332" s="218"/>
      <c r="S332" s="285"/>
      <c r="T332" s="3"/>
      <c r="AC332" s="285"/>
      <c r="AE332" s="3"/>
    </row>
    <row r="333" spans="1:31" ht="15">
      <c r="A333" s="387" t="s">
        <v>122</v>
      </c>
      <c r="B333" s="391">
        <v>205000</v>
      </c>
      <c r="C333" s="394" t="s">
        <v>119</v>
      </c>
      <c r="D333" s="391">
        <v>96000</v>
      </c>
      <c r="E333" s="394" t="s">
        <v>120</v>
      </c>
      <c r="F333" s="395">
        <v>301000</v>
      </c>
      <c r="G333" s="218">
        <f>F333*12</f>
        <v>3612000</v>
      </c>
      <c r="H333" s="218"/>
      <c r="I333" s="218"/>
      <c r="S333" s="285"/>
      <c r="T333" s="3"/>
      <c r="AC333" s="285"/>
      <c r="AE333" s="3"/>
    </row>
    <row r="334" spans="19:31" ht="12.75">
      <c r="S334" s="285"/>
      <c r="T334" s="3"/>
      <c r="AC334" s="285"/>
      <c r="AE334" s="3"/>
    </row>
    <row r="335" spans="1:30" s="34" customFormat="1" ht="15">
      <c r="A335" s="380" t="s">
        <v>27</v>
      </c>
      <c r="S335" s="355"/>
      <c r="AC335" s="355"/>
      <c r="AD335" s="355"/>
    </row>
    <row r="336" spans="3:31" ht="12.75">
      <c r="C336" s="145" t="s">
        <v>96</v>
      </c>
      <c r="D336" s="145" t="s">
        <v>125</v>
      </c>
      <c r="E336" s="145" t="s">
        <v>128</v>
      </c>
      <c r="F336" s="145" t="s">
        <v>130</v>
      </c>
      <c r="G336" s="145" t="s">
        <v>127</v>
      </c>
      <c r="H336" s="145" t="s">
        <v>126</v>
      </c>
      <c r="I336" s="145" t="s">
        <v>129</v>
      </c>
      <c r="S336" s="285"/>
      <c r="T336" s="3"/>
      <c r="AC336" s="285"/>
      <c r="AE336" s="3"/>
    </row>
    <row r="337" spans="1:31" ht="26.25" customHeight="1">
      <c r="A337" s="361" t="s">
        <v>116</v>
      </c>
      <c r="B337" s="303"/>
      <c r="C337" s="304" t="s">
        <v>102</v>
      </c>
      <c r="D337" s="305" t="s">
        <v>101</v>
      </c>
      <c r="E337" s="304" t="s">
        <v>132</v>
      </c>
      <c r="F337" s="304" t="s">
        <v>133</v>
      </c>
      <c r="G337" s="304" t="s">
        <v>105</v>
      </c>
      <c r="H337" s="304" t="s">
        <v>2</v>
      </c>
      <c r="I337" s="304" t="s">
        <v>103</v>
      </c>
      <c r="S337" s="285"/>
      <c r="T337" s="3"/>
      <c r="AC337" s="285"/>
      <c r="AE337" s="3"/>
    </row>
    <row r="338" spans="1:31" ht="13.5" customHeight="1">
      <c r="A338" s="361"/>
      <c r="B338" s="303">
        <v>1</v>
      </c>
      <c r="C338" s="304" t="s">
        <v>96</v>
      </c>
      <c r="D338" s="375" t="s">
        <v>125</v>
      </c>
      <c r="E338" s="304" t="s">
        <v>128</v>
      </c>
      <c r="F338" s="304" t="s">
        <v>130</v>
      </c>
      <c r="G338" s="304" t="s">
        <v>127</v>
      </c>
      <c r="H338" s="304" t="s">
        <v>126</v>
      </c>
      <c r="I338" s="304" t="s">
        <v>129</v>
      </c>
      <c r="S338" s="285"/>
      <c r="T338" s="3"/>
      <c r="AC338" s="285"/>
      <c r="AE338" s="3"/>
    </row>
    <row r="339" spans="1:31" ht="12.75">
      <c r="A339" s="306" t="s">
        <v>107</v>
      </c>
      <c r="B339" s="307">
        <v>2</v>
      </c>
      <c r="C339" s="396">
        <v>29.16</v>
      </c>
      <c r="D339" s="397">
        <v>26.03</v>
      </c>
      <c r="E339" s="396">
        <v>33.44</v>
      </c>
      <c r="F339" s="396">
        <v>36.3</v>
      </c>
      <c r="G339" s="396">
        <v>36.3</v>
      </c>
      <c r="H339" s="396">
        <v>33.34</v>
      </c>
      <c r="I339" s="396">
        <v>33.44</v>
      </c>
      <c r="S339" s="285"/>
      <c r="T339" s="3"/>
      <c r="AC339" s="285"/>
      <c r="AE339" s="3"/>
    </row>
    <row r="340" spans="1:31" ht="12.75">
      <c r="A340" s="306" t="s">
        <v>108</v>
      </c>
      <c r="B340" s="307">
        <v>3</v>
      </c>
      <c r="C340" s="396">
        <v>29.82</v>
      </c>
      <c r="D340" s="397">
        <v>26.54</v>
      </c>
      <c r="E340" s="396">
        <v>34.35</v>
      </c>
      <c r="F340" s="396">
        <v>38.35</v>
      </c>
      <c r="G340" s="396">
        <v>37.3</v>
      </c>
      <c r="H340" s="396">
        <v>34.24</v>
      </c>
      <c r="I340" s="396">
        <v>34.35</v>
      </c>
      <c r="S340" s="285"/>
      <c r="T340" s="3"/>
      <c r="AC340" s="285"/>
      <c r="AE340" s="3"/>
    </row>
    <row r="341" spans="1:31" ht="12.75">
      <c r="A341" s="306" t="s">
        <v>109</v>
      </c>
      <c r="B341" s="307">
        <v>4</v>
      </c>
      <c r="C341" s="396">
        <v>32.16</v>
      </c>
      <c r="D341" s="397">
        <v>28.37</v>
      </c>
      <c r="E341" s="396">
        <v>37.13</v>
      </c>
      <c r="F341" s="396">
        <v>41.64</v>
      </c>
      <c r="G341" s="396">
        <v>40.58</v>
      </c>
      <c r="H341" s="396">
        <v>37.02</v>
      </c>
      <c r="I341" s="396">
        <v>37.13</v>
      </c>
      <c r="S341" s="285"/>
      <c r="T341" s="3"/>
      <c r="AC341" s="285"/>
      <c r="AE341" s="3"/>
    </row>
    <row r="342" spans="1:31" ht="12.75">
      <c r="A342" s="306" t="s">
        <v>110</v>
      </c>
      <c r="B342" s="307">
        <v>5</v>
      </c>
      <c r="C342" s="396">
        <v>34.37</v>
      </c>
      <c r="D342" s="397">
        <v>30.08</v>
      </c>
      <c r="E342" s="396">
        <v>40.38</v>
      </c>
      <c r="F342" s="396">
        <v>45.7</v>
      </c>
      <c r="G342" s="396">
        <v>44.35</v>
      </c>
      <c r="H342" s="396">
        <v>40.26</v>
      </c>
      <c r="I342" s="396">
        <v>40.38</v>
      </c>
      <c r="S342" s="285"/>
      <c r="T342" s="3"/>
      <c r="AC342" s="285"/>
      <c r="AE342" s="3"/>
    </row>
    <row r="343" spans="1:31" ht="12.75">
      <c r="A343" s="306" t="s">
        <v>111</v>
      </c>
      <c r="B343" s="307">
        <v>6</v>
      </c>
      <c r="C343" s="396">
        <v>36.6</v>
      </c>
      <c r="D343" s="397">
        <v>31.76</v>
      </c>
      <c r="E343" s="396">
        <v>45.08</v>
      </c>
      <c r="F343" s="396">
        <v>50.87</v>
      </c>
      <c r="G343" s="396">
        <v>48.01</v>
      </c>
      <c r="H343" s="396">
        <v>43.41</v>
      </c>
      <c r="I343" s="396">
        <v>43.53</v>
      </c>
      <c r="S343" s="285"/>
      <c r="T343" s="3"/>
      <c r="AC343" s="285"/>
      <c r="AE343" s="3"/>
    </row>
    <row r="344" spans="1:31" ht="12.75">
      <c r="A344" s="306" t="s">
        <v>112</v>
      </c>
      <c r="B344" s="307">
        <v>7</v>
      </c>
      <c r="C344" s="396">
        <v>38.19</v>
      </c>
      <c r="D344" s="397">
        <v>33.03</v>
      </c>
      <c r="E344" s="396">
        <v>48.17</v>
      </c>
      <c r="F344" s="396">
        <v>54.26</v>
      </c>
      <c r="G344" s="396">
        <v>51.6</v>
      </c>
      <c r="H344" s="396">
        <v>46.51</v>
      </c>
      <c r="I344" s="396">
        <v>46.65</v>
      </c>
      <c r="S344" s="285"/>
      <c r="T344" s="3"/>
      <c r="AC344" s="285"/>
      <c r="AE344" s="3"/>
    </row>
    <row r="345" spans="1:31" ht="12.75">
      <c r="A345" s="306" t="s">
        <v>113</v>
      </c>
      <c r="B345" s="307">
        <v>8</v>
      </c>
      <c r="C345" s="396">
        <v>39.41</v>
      </c>
      <c r="D345" s="397">
        <v>33.92</v>
      </c>
      <c r="E345" s="396">
        <v>50.51</v>
      </c>
      <c r="F345" s="396">
        <v>56.96</v>
      </c>
      <c r="G345" s="396">
        <v>54.26</v>
      </c>
      <c r="H345" s="396">
        <v>48.83</v>
      </c>
      <c r="I345" s="396">
        <v>48.96</v>
      </c>
      <c r="S345" s="285"/>
      <c r="T345" s="3"/>
      <c r="AC345" s="285"/>
      <c r="AE345" s="3"/>
    </row>
    <row r="346" spans="19:31" ht="12.75">
      <c r="S346" s="285"/>
      <c r="T346" s="3"/>
      <c r="AC346" s="285"/>
      <c r="AE346" s="3"/>
    </row>
    <row r="347" spans="1:31" ht="15">
      <c r="A347" s="380" t="s">
        <v>26</v>
      </c>
      <c r="B347" s="34"/>
      <c r="C347" s="34"/>
      <c r="D347" s="34"/>
      <c r="E347" s="34"/>
      <c r="F347" s="34"/>
      <c r="G347" s="34"/>
      <c r="H347" s="34"/>
      <c r="I347" s="34"/>
      <c r="S347" s="285"/>
      <c r="T347" s="3"/>
      <c r="AC347" s="285"/>
      <c r="AE347" s="3"/>
    </row>
    <row r="348" spans="3:31" ht="12.75">
      <c r="C348" s="145" t="s">
        <v>96</v>
      </c>
      <c r="D348" s="145" t="s">
        <v>125</v>
      </c>
      <c r="E348" s="145" t="s">
        <v>128</v>
      </c>
      <c r="F348" s="145" t="s">
        <v>130</v>
      </c>
      <c r="G348" s="145" t="s">
        <v>127</v>
      </c>
      <c r="H348" s="145" t="s">
        <v>126</v>
      </c>
      <c r="I348" s="145" t="s">
        <v>129</v>
      </c>
      <c r="S348" s="285"/>
      <c r="T348" s="3"/>
      <c r="AC348" s="285"/>
      <c r="AE348" s="3"/>
    </row>
    <row r="349" spans="1:31" ht="24.75">
      <c r="A349" s="361" t="s">
        <v>116</v>
      </c>
      <c r="B349" s="303"/>
      <c r="C349" s="304" t="s">
        <v>102</v>
      </c>
      <c r="D349" s="305" t="s">
        <v>101</v>
      </c>
      <c r="E349" s="304" t="s">
        <v>132</v>
      </c>
      <c r="F349" s="304" t="s">
        <v>133</v>
      </c>
      <c r="G349" s="304" t="s">
        <v>105</v>
      </c>
      <c r="H349" s="304" t="s">
        <v>2</v>
      </c>
      <c r="I349" s="304" t="s">
        <v>103</v>
      </c>
      <c r="S349" s="285"/>
      <c r="T349" s="3"/>
      <c r="AC349" s="285"/>
      <c r="AE349" s="3"/>
    </row>
    <row r="350" spans="1:31" ht="12.75">
      <c r="A350" s="361"/>
      <c r="B350" s="303">
        <v>1</v>
      </c>
      <c r="C350" s="304" t="s">
        <v>96</v>
      </c>
      <c r="D350" s="375" t="s">
        <v>125</v>
      </c>
      <c r="E350" s="304" t="s">
        <v>128</v>
      </c>
      <c r="F350" s="304" t="s">
        <v>130</v>
      </c>
      <c r="G350" s="304" t="s">
        <v>127</v>
      </c>
      <c r="H350" s="304" t="s">
        <v>126</v>
      </c>
      <c r="I350" s="304" t="s">
        <v>129</v>
      </c>
      <c r="S350" s="285"/>
      <c r="T350" s="3"/>
      <c r="AC350" s="285"/>
      <c r="AE350" s="3"/>
    </row>
    <row r="351" spans="1:31" ht="12.75">
      <c r="A351" s="306" t="s">
        <v>107</v>
      </c>
      <c r="B351" s="307">
        <v>2</v>
      </c>
      <c r="C351" s="396">
        <v>29.92</v>
      </c>
      <c r="D351" s="397">
        <v>26.71</v>
      </c>
      <c r="E351" s="396">
        <v>34.35</v>
      </c>
      <c r="F351" s="396">
        <v>37.28</v>
      </c>
      <c r="G351" s="396">
        <v>37.28</v>
      </c>
      <c r="H351" s="396">
        <v>34.21</v>
      </c>
      <c r="I351" s="396">
        <v>34.35</v>
      </c>
      <c r="S351" s="285"/>
      <c r="T351" s="3"/>
      <c r="AC351" s="285"/>
      <c r="AE351" s="3"/>
    </row>
    <row r="352" spans="1:31" ht="12.75">
      <c r="A352" s="306" t="s">
        <v>108</v>
      </c>
      <c r="B352" s="307">
        <v>3</v>
      </c>
      <c r="C352" s="396">
        <v>30.6</v>
      </c>
      <c r="D352" s="397">
        <v>27.23</v>
      </c>
      <c r="E352" s="396">
        <v>35.28</v>
      </c>
      <c r="F352" s="396">
        <v>39.39</v>
      </c>
      <c r="G352" s="396">
        <v>38.31</v>
      </c>
      <c r="H352" s="396">
        <v>35.14</v>
      </c>
      <c r="I352" s="396">
        <v>35.28</v>
      </c>
      <c r="S352" s="285"/>
      <c r="T352" s="3"/>
      <c r="AC352" s="285"/>
      <c r="AE352" s="3"/>
    </row>
    <row r="353" spans="1:31" ht="12.75">
      <c r="A353" s="306" t="s">
        <v>109</v>
      </c>
      <c r="B353" s="307">
        <v>4</v>
      </c>
      <c r="C353" s="396">
        <v>33</v>
      </c>
      <c r="D353" s="397">
        <v>29.11</v>
      </c>
      <c r="E353" s="396">
        <v>38.13</v>
      </c>
      <c r="F353" s="396">
        <v>42.77</v>
      </c>
      <c r="G353" s="396">
        <v>41.67</v>
      </c>
      <c r="H353" s="396">
        <v>37.99</v>
      </c>
      <c r="I353" s="396">
        <v>38.13</v>
      </c>
      <c r="S353" s="285"/>
      <c r="T353" s="3"/>
      <c r="AC353" s="285"/>
      <c r="AE353" s="3"/>
    </row>
    <row r="354" spans="1:31" ht="12.75">
      <c r="A354" s="306" t="s">
        <v>110</v>
      </c>
      <c r="B354" s="307">
        <v>5</v>
      </c>
      <c r="C354" s="396">
        <v>35.27</v>
      </c>
      <c r="D354" s="397">
        <v>30.87</v>
      </c>
      <c r="E354" s="396">
        <v>41.47</v>
      </c>
      <c r="F354" s="396">
        <v>46.94</v>
      </c>
      <c r="G354" s="396">
        <v>45.54</v>
      </c>
      <c r="H354" s="396">
        <v>41.31</v>
      </c>
      <c r="I354" s="396">
        <v>41.47</v>
      </c>
      <c r="S354" s="285"/>
      <c r="T354" s="3"/>
      <c r="AC354" s="285"/>
      <c r="AE354" s="3"/>
    </row>
    <row r="355" spans="1:31" ht="12.75">
      <c r="A355" s="306" t="s">
        <v>111</v>
      </c>
      <c r="B355" s="307">
        <v>6</v>
      </c>
      <c r="C355" s="396">
        <v>37.56</v>
      </c>
      <c r="D355" s="397">
        <v>32.59</v>
      </c>
      <c r="E355" s="396">
        <v>46.3</v>
      </c>
      <c r="F355" s="396">
        <v>52.25</v>
      </c>
      <c r="G355" s="396">
        <v>49.3</v>
      </c>
      <c r="H355" s="396">
        <v>44.54</v>
      </c>
      <c r="I355" s="396">
        <v>44.71</v>
      </c>
      <c r="S355" s="285"/>
      <c r="T355" s="3"/>
      <c r="AC355" s="285"/>
      <c r="AE355" s="3"/>
    </row>
    <row r="356" spans="1:31" ht="12.75">
      <c r="A356" s="306" t="s">
        <v>112</v>
      </c>
      <c r="B356" s="307">
        <v>7</v>
      </c>
      <c r="C356" s="396">
        <v>39.19</v>
      </c>
      <c r="D356" s="397">
        <v>33.9</v>
      </c>
      <c r="E356" s="396">
        <v>49.47</v>
      </c>
      <c r="F356" s="396">
        <v>55.73</v>
      </c>
      <c r="G356" s="396">
        <v>52.99</v>
      </c>
      <c r="H356" s="396">
        <v>47.73</v>
      </c>
      <c r="I356" s="396">
        <v>47.91</v>
      </c>
      <c r="S356" s="285"/>
      <c r="T356" s="3"/>
      <c r="AC356" s="285"/>
      <c r="AE356" s="3"/>
    </row>
    <row r="357" spans="1:31" ht="12.75">
      <c r="A357" s="306" t="s">
        <v>113</v>
      </c>
      <c r="B357" s="307">
        <v>8</v>
      </c>
      <c r="C357" s="396">
        <v>40.44</v>
      </c>
      <c r="D357" s="397">
        <v>34.81</v>
      </c>
      <c r="E357" s="396">
        <v>51.88</v>
      </c>
      <c r="F357" s="396">
        <v>58.5</v>
      </c>
      <c r="G357" s="396">
        <v>55.73</v>
      </c>
      <c r="H357" s="396">
        <v>50.1</v>
      </c>
      <c r="I357" s="396">
        <v>50.29</v>
      </c>
      <c r="S357" s="285"/>
      <c r="T357" s="3"/>
      <c r="AC357" s="285"/>
      <c r="AE357" s="3"/>
    </row>
    <row r="358" spans="19:31" ht="12.75">
      <c r="S358" s="285"/>
      <c r="T358" s="3"/>
      <c r="AC358" s="285"/>
      <c r="AE358" s="3"/>
    </row>
    <row r="359" spans="1:31" ht="15">
      <c r="A359" s="380" t="s">
        <v>25</v>
      </c>
      <c r="B359" s="34"/>
      <c r="C359" s="34"/>
      <c r="D359" s="34"/>
      <c r="E359" s="34"/>
      <c r="F359" s="34"/>
      <c r="G359" s="34"/>
      <c r="H359" s="34"/>
      <c r="I359" s="34"/>
      <c r="S359" s="285"/>
      <c r="T359" s="3"/>
      <c r="AC359" s="285"/>
      <c r="AE359" s="3"/>
    </row>
    <row r="360" spans="3:31" ht="12.75">
      <c r="C360" s="145" t="s">
        <v>96</v>
      </c>
      <c r="D360" s="145" t="s">
        <v>125</v>
      </c>
      <c r="E360" s="145" t="s">
        <v>128</v>
      </c>
      <c r="F360" s="145" t="s">
        <v>130</v>
      </c>
      <c r="G360" s="145" t="s">
        <v>127</v>
      </c>
      <c r="H360" s="145" t="s">
        <v>126</v>
      </c>
      <c r="I360" s="145" t="s">
        <v>129</v>
      </c>
      <c r="S360" s="285"/>
      <c r="T360" s="3"/>
      <c r="AC360" s="285"/>
      <c r="AE360" s="3"/>
    </row>
    <row r="361" spans="1:31" ht="24.75">
      <c r="A361" s="361" t="s">
        <v>116</v>
      </c>
      <c r="B361" s="303"/>
      <c r="C361" s="304" t="s">
        <v>102</v>
      </c>
      <c r="D361" s="305" t="s">
        <v>101</v>
      </c>
      <c r="E361" s="304" t="s">
        <v>132</v>
      </c>
      <c r="F361" s="304" t="s">
        <v>133</v>
      </c>
      <c r="G361" s="304" t="s">
        <v>105</v>
      </c>
      <c r="H361" s="304" t="s">
        <v>293</v>
      </c>
      <c r="I361" s="304" t="s">
        <v>103</v>
      </c>
      <c r="S361" s="285"/>
      <c r="T361" s="3"/>
      <c r="AC361" s="285"/>
      <c r="AE361" s="3"/>
    </row>
    <row r="362" spans="1:31" ht="12.75">
      <c r="A362" s="361"/>
      <c r="B362" s="303">
        <v>1</v>
      </c>
      <c r="C362" s="304" t="s">
        <v>96</v>
      </c>
      <c r="D362" s="375" t="s">
        <v>125</v>
      </c>
      <c r="E362" s="304" t="s">
        <v>128</v>
      </c>
      <c r="F362" s="304" t="s">
        <v>130</v>
      </c>
      <c r="G362" s="304" t="s">
        <v>127</v>
      </c>
      <c r="H362" s="304" t="s">
        <v>126</v>
      </c>
      <c r="I362" s="304" t="s">
        <v>129</v>
      </c>
      <c r="S362" s="285"/>
      <c r="T362" s="3"/>
      <c r="AC362" s="285"/>
      <c r="AE362" s="3"/>
    </row>
    <row r="363" spans="1:31" ht="12.75">
      <c r="A363" s="306" t="s">
        <v>107</v>
      </c>
      <c r="B363" s="307">
        <v>2</v>
      </c>
      <c r="C363" s="396">
        <f>(C351*12)+(C339*12)+C311/1936.27+6280.06</f>
        <v>14595.913666689048</v>
      </c>
      <c r="D363" s="396">
        <f>(D351*12)+(D339*12)+D311/1936.27+6207.16</f>
        <v>13029.259478688407</v>
      </c>
      <c r="E363" s="396">
        <f>(E351*12)+(E339*12)+E311/1936.27+6384.11</f>
        <v>16703.495684641086</v>
      </c>
      <c r="F363" s="396">
        <f aca="true" t="shared" si="17" ref="F363:G369">(F351*12)+(F339*12)+F311/1936.27+6459.63</f>
        <v>18128.792337483927</v>
      </c>
      <c r="G363" s="396">
        <f t="shared" si="17"/>
        <v>18128.792337483927</v>
      </c>
      <c r="H363" s="488">
        <v>19296.63</v>
      </c>
      <c r="I363" s="396">
        <f>(I351*12)+(I339*12)+I311/1936.27+6384.11</f>
        <v>16703.495684641086</v>
      </c>
      <c r="S363" s="285"/>
      <c r="T363" s="3"/>
      <c r="AC363" s="285"/>
      <c r="AE363" s="3"/>
    </row>
    <row r="364" spans="1:31" ht="12.75">
      <c r="A364" s="306" t="s">
        <v>108</v>
      </c>
      <c r="B364" s="307">
        <v>3</v>
      </c>
      <c r="C364" s="396">
        <f aca="true" t="shared" si="18" ref="C364:C369">(C352*12)+(C340*12)+C312/1936.27+6280.06</f>
        <v>14923.933633739096</v>
      </c>
      <c r="D364" s="396">
        <f aca="true" t="shared" si="19" ref="D364:D369">(D352*12)+(D340*12)+D312/1936.27+6207.16</f>
        <v>13282.288393664106</v>
      </c>
      <c r="E364" s="396">
        <f aca="true" t="shared" si="20" ref="E364:E369">(E352*12)+(E340*12)+E312/1936.27+6384.11</f>
        <v>17154.75136778445</v>
      </c>
      <c r="F364" s="396">
        <f t="shared" si="17"/>
        <v>19155.848790561235</v>
      </c>
      <c r="G364" s="396">
        <f t="shared" si="17"/>
        <v>18629.325598444433</v>
      </c>
      <c r="H364" s="488">
        <v>19858.4</v>
      </c>
      <c r="I364" s="396">
        <f aca="true" t="shared" si="21" ref="I364:I369">(I352*12)+(I340*12)+I312/1936.27+6384.11</f>
        <v>17154.75136778445</v>
      </c>
      <c r="S364" s="285"/>
      <c r="T364" s="3"/>
      <c r="AC364" s="285"/>
      <c r="AE364" s="3"/>
    </row>
    <row r="365" spans="1:31" ht="12.75">
      <c r="A365" s="306" t="s">
        <v>109</v>
      </c>
      <c r="B365" s="307">
        <v>4</v>
      </c>
      <c r="C365" s="396">
        <f t="shared" si="18"/>
        <v>16095.327621974207</v>
      </c>
      <c r="D365" s="396">
        <f t="shared" si="19"/>
        <v>14199.62055312534</v>
      </c>
      <c r="E365" s="396">
        <f t="shared" si="20"/>
        <v>18544.441029453537</v>
      </c>
      <c r="F365" s="396">
        <f t="shared" si="17"/>
        <v>20799.20382410511</v>
      </c>
      <c r="G365" s="396">
        <f t="shared" si="17"/>
        <v>20265.090235401054</v>
      </c>
      <c r="H365" s="488">
        <v>21599.28</v>
      </c>
      <c r="I365" s="396">
        <f t="shared" si="21"/>
        <v>18544.441029453537</v>
      </c>
      <c r="S365" s="285"/>
      <c r="T365" s="3"/>
      <c r="AC365" s="285"/>
      <c r="AE365" s="3"/>
    </row>
    <row r="366" spans="1:31" ht="12.75">
      <c r="A366" s="306" t="s">
        <v>110</v>
      </c>
      <c r="B366" s="307">
        <v>5</v>
      </c>
      <c r="C366" s="396">
        <f t="shared" si="18"/>
        <v>17204.725523713118</v>
      </c>
      <c r="D366" s="396">
        <f t="shared" si="19"/>
        <v>15055.71308298946</v>
      </c>
      <c r="E366" s="396">
        <f t="shared" si="20"/>
        <v>20167.7271577311</v>
      </c>
      <c r="F366" s="396">
        <f t="shared" si="17"/>
        <v>22826.413885305254</v>
      </c>
      <c r="G366" s="396">
        <f t="shared" si="17"/>
        <v>22148.359218342484</v>
      </c>
      <c r="H366" s="488">
        <v>23631.02</v>
      </c>
      <c r="I366" s="396">
        <f t="shared" si="21"/>
        <v>20167.7271577311</v>
      </c>
      <c r="S366" s="285"/>
      <c r="T366" s="3"/>
      <c r="AC366" s="285"/>
      <c r="AE366" s="3"/>
    </row>
    <row r="367" spans="1:31" ht="12.75">
      <c r="A367" s="306" t="s">
        <v>111</v>
      </c>
      <c r="B367" s="307">
        <v>6</v>
      </c>
      <c r="C367" s="396">
        <f t="shared" si="18"/>
        <v>18320.800908241104</v>
      </c>
      <c r="D367" s="396">
        <f t="shared" si="19"/>
        <v>15898.570647275432</v>
      </c>
      <c r="E367" s="396">
        <f t="shared" si="20"/>
        <v>22516.796160091308</v>
      </c>
      <c r="F367" s="396">
        <f t="shared" si="17"/>
        <v>25408.44289737485</v>
      </c>
      <c r="G367" s="396">
        <f t="shared" si="17"/>
        <v>23976.826054475874</v>
      </c>
      <c r="H367" s="488">
        <v>25804.51</v>
      </c>
      <c r="I367" s="396">
        <f t="shared" si="21"/>
        <v>21743.165078888793</v>
      </c>
      <c r="S367" s="285"/>
      <c r="T367" s="3"/>
      <c r="AC367" s="285"/>
      <c r="AE367" s="3"/>
    </row>
    <row r="368" spans="1:31" ht="12.75">
      <c r="A368" s="306" t="s">
        <v>112</v>
      </c>
      <c r="B368" s="307">
        <v>7</v>
      </c>
      <c r="C368" s="396">
        <f t="shared" si="18"/>
        <v>19115.53380850811</v>
      </c>
      <c r="D368" s="396">
        <f t="shared" si="19"/>
        <v>16534.301676109222</v>
      </c>
      <c r="E368" s="396">
        <f t="shared" si="20"/>
        <v>24058.137296606365</v>
      </c>
      <c r="F368" s="396">
        <f t="shared" si="17"/>
        <v>27100.16259493769</v>
      </c>
      <c r="G368" s="396">
        <f t="shared" si="17"/>
        <v>25770.55964906754</v>
      </c>
      <c r="H368" s="488">
        <v>28037.7</v>
      </c>
      <c r="I368" s="396">
        <f t="shared" si="21"/>
        <v>23297.62118098199</v>
      </c>
      <c r="S368" s="285"/>
      <c r="T368" s="3"/>
      <c r="AC368" s="285"/>
      <c r="AE368" s="3"/>
    </row>
    <row r="369" spans="1:31" ht="12.75">
      <c r="A369" s="306" t="s">
        <v>113</v>
      </c>
      <c r="B369" s="307">
        <v>8</v>
      </c>
      <c r="C369" s="396">
        <f t="shared" si="18"/>
        <v>19724.638449286515</v>
      </c>
      <c r="D369" s="396">
        <f t="shared" si="19"/>
        <v>16979.91279026169</v>
      </c>
      <c r="E369" s="396">
        <f t="shared" si="20"/>
        <v>25229.134827942384</v>
      </c>
      <c r="F369" s="396">
        <f t="shared" si="17"/>
        <v>28448.681532275976</v>
      </c>
      <c r="G369" s="396">
        <f t="shared" si="17"/>
        <v>27100.16259493769</v>
      </c>
      <c r="H369" s="488">
        <v>30210.04</v>
      </c>
      <c r="I369" s="396">
        <f t="shared" si="21"/>
        <v>24454.987289840778</v>
      </c>
      <c r="S369" s="285"/>
      <c r="T369" s="3"/>
      <c r="AC369" s="285"/>
      <c r="AE369" s="3"/>
    </row>
    <row r="370" spans="19:31" ht="12.75">
      <c r="S370" s="285"/>
      <c r="T370" s="3"/>
      <c r="AC370" s="285"/>
      <c r="AE370" s="3"/>
    </row>
    <row r="371" spans="1:31" ht="13.5">
      <c r="A371" s="382" t="s">
        <v>210</v>
      </c>
      <c r="B371" s="218"/>
      <c r="D371" s="398" t="s">
        <v>3</v>
      </c>
      <c r="E371" s="383" t="s">
        <v>37</v>
      </c>
      <c r="F371" s="218"/>
      <c r="S371" s="285"/>
      <c r="T371" s="3"/>
      <c r="AC371" s="285"/>
      <c r="AE371" s="3"/>
    </row>
    <row r="372" spans="1:31" ht="12.75">
      <c r="A372" s="361"/>
      <c r="B372" s="303">
        <v>1</v>
      </c>
      <c r="C372" s="304" t="s">
        <v>128</v>
      </c>
      <c r="D372" s="304" t="s">
        <v>130</v>
      </c>
      <c r="E372" s="304" t="s">
        <v>127</v>
      </c>
      <c r="F372" s="324" t="s">
        <v>129</v>
      </c>
      <c r="G372" s="575" t="s">
        <v>7</v>
      </c>
      <c r="S372" s="285"/>
      <c r="T372" s="3"/>
      <c r="AC372" s="285"/>
      <c r="AE372" s="3"/>
    </row>
    <row r="373" spans="1:31" ht="12.75">
      <c r="A373" s="306" t="s">
        <v>107</v>
      </c>
      <c r="B373" s="307">
        <v>2</v>
      </c>
      <c r="C373" s="396">
        <f>2592000/1936.27+20*12</f>
        <v>1578.6562824399489</v>
      </c>
      <c r="D373" s="396">
        <f aca="true" t="shared" si="22" ref="D373:F375">2592000/1936.27+20*12</f>
        <v>1578.6562824399489</v>
      </c>
      <c r="E373" s="396">
        <f t="shared" si="22"/>
        <v>1578.6562824399489</v>
      </c>
      <c r="F373" s="399">
        <f t="shared" si="22"/>
        <v>1578.6562824399489</v>
      </c>
      <c r="G373" s="576"/>
      <c r="S373" s="285"/>
      <c r="T373" s="3"/>
      <c r="AC373" s="285"/>
      <c r="AE373" s="3"/>
    </row>
    <row r="374" spans="1:31" ht="12.75">
      <c r="A374" s="306" t="s">
        <v>108</v>
      </c>
      <c r="B374" s="307">
        <v>3</v>
      </c>
      <c r="C374" s="396">
        <f>2592000/1936.27+20*12</f>
        <v>1578.6562824399489</v>
      </c>
      <c r="D374" s="396">
        <f t="shared" si="22"/>
        <v>1578.6562824399489</v>
      </c>
      <c r="E374" s="396">
        <f t="shared" si="22"/>
        <v>1578.6562824399489</v>
      </c>
      <c r="F374" s="399">
        <f t="shared" si="22"/>
        <v>1578.6562824399489</v>
      </c>
      <c r="G374" s="576"/>
      <c r="S374" s="285"/>
      <c r="T374" s="3"/>
      <c r="AC374" s="285"/>
      <c r="AE374" s="3"/>
    </row>
    <row r="375" spans="1:31" ht="12.75">
      <c r="A375" s="306" t="s">
        <v>109</v>
      </c>
      <c r="B375" s="307">
        <v>4</v>
      </c>
      <c r="C375" s="396">
        <f>2592000/1936.27+20*12</f>
        <v>1578.6562824399489</v>
      </c>
      <c r="D375" s="396">
        <f t="shared" si="22"/>
        <v>1578.6562824399489</v>
      </c>
      <c r="E375" s="396">
        <f t="shared" si="22"/>
        <v>1578.6562824399489</v>
      </c>
      <c r="F375" s="399">
        <f t="shared" si="22"/>
        <v>1578.6562824399489</v>
      </c>
      <c r="G375" s="576"/>
      <c r="S375" s="285"/>
      <c r="T375" s="3"/>
      <c r="AC375" s="285"/>
      <c r="AE375" s="3"/>
    </row>
    <row r="376" spans="1:31" ht="12.75">
      <c r="A376" s="306" t="s">
        <v>110</v>
      </c>
      <c r="B376" s="307">
        <v>5</v>
      </c>
      <c r="C376" s="396">
        <f>3228000/1936.27+24*12</f>
        <v>1955.1228702608623</v>
      </c>
      <c r="D376" s="396">
        <f aca="true" t="shared" si="23" ref="D376:F377">3228000/1936.27+24*12</f>
        <v>1955.1228702608623</v>
      </c>
      <c r="E376" s="396">
        <f t="shared" si="23"/>
        <v>1955.1228702608623</v>
      </c>
      <c r="F376" s="399">
        <f t="shared" si="23"/>
        <v>1955.1228702608623</v>
      </c>
      <c r="G376" s="577" t="s">
        <v>5</v>
      </c>
      <c r="S376" s="285"/>
      <c r="T376" s="3"/>
      <c r="AC376" s="285"/>
      <c r="AE376" s="3"/>
    </row>
    <row r="377" spans="1:31" ht="12.75">
      <c r="A377" s="306" t="s">
        <v>111</v>
      </c>
      <c r="B377" s="307">
        <v>6</v>
      </c>
      <c r="C377" s="396">
        <f>3228000/1936.27+24*12</f>
        <v>1955.1228702608623</v>
      </c>
      <c r="D377" s="396">
        <f t="shared" si="23"/>
        <v>1955.1228702608623</v>
      </c>
      <c r="E377" s="396">
        <f t="shared" si="23"/>
        <v>1955.1228702608623</v>
      </c>
      <c r="F377" s="399">
        <f t="shared" si="23"/>
        <v>1955.1228702608623</v>
      </c>
      <c r="G377" s="578"/>
      <c r="S377" s="285"/>
      <c r="T377" s="3"/>
      <c r="AC377" s="285"/>
      <c r="AE377" s="3"/>
    </row>
    <row r="378" spans="1:31" ht="12.75">
      <c r="A378" s="306" t="s">
        <v>112</v>
      </c>
      <c r="B378" s="307">
        <v>7</v>
      </c>
      <c r="C378" s="396">
        <f>3612000/1936.27+39*12</f>
        <v>2333.442319511225</v>
      </c>
      <c r="D378" s="396">
        <f aca="true" t="shared" si="24" ref="D378:F379">3612000/1936.27+39*12</f>
        <v>2333.442319511225</v>
      </c>
      <c r="E378" s="396">
        <f t="shared" si="24"/>
        <v>2333.442319511225</v>
      </c>
      <c r="F378" s="399">
        <f t="shared" si="24"/>
        <v>2333.442319511225</v>
      </c>
      <c r="G378" s="579" t="s">
        <v>6</v>
      </c>
      <c r="S378" s="285"/>
      <c r="T378" s="3"/>
      <c r="AC378" s="285"/>
      <c r="AE378" s="3"/>
    </row>
    <row r="379" spans="1:31" ht="12.75">
      <c r="A379" s="306" t="s">
        <v>113</v>
      </c>
      <c r="B379" s="307">
        <v>8</v>
      </c>
      <c r="C379" s="396">
        <f>3612000/1936.27+39*12</f>
        <v>2333.442319511225</v>
      </c>
      <c r="D379" s="396">
        <f t="shared" si="24"/>
        <v>2333.442319511225</v>
      </c>
      <c r="E379" s="396">
        <f t="shared" si="24"/>
        <v>2333.442319511225</v>
      </c>
      <c r="F379" s="399">
        <f t="shared" si="24"/>
        <v>2333.442319511225</v>
      </c>
      <c r="G379" s="580"/>
      <c r="S379" s="285"/>
      <c r="T379" s="3"/>
      <c r="AC379" s="285"/>
      <c r="AE379" s="3"/>
    </row>
    <row r="380" spans="19:31" ht="12.75">
      <c r="S380" s="285"/>
      <c r="T380" s="3"/>
      <c r="AC380" s="285"/>
      <c r="AE380" s="3"/>
    </row>
    <row r="381" spans="1:31" ht="13.5">
      <c r="A381" s="382" t="s">
        <v>210</v>
      </c>
      <c r="B381" s="218"/>
      <c r="D381" s="398" t="s">
        <v>4</v>
      </c>
      <c r="E381" s="383" t="s">
        <v>40</v>
      </c>
      <c r="F381" s="218"/>
      <c r="S381" s="285"/>
      <c r="T381" s="3"/>
      <c r="AC381" s="285"/>
      <c r="AE381" s="3"/>
    </row>
    <row r="382" spans="1:31" ht="12.75">
      <c r="A382" s="361"/>
      <c r="B382" s="303">
        <v>1</v>
      </c>
      <c r="C382" s="304" t="s">
        <v>128</v>
      </c>
      <c r="D382" s="304" t="s">
        <v>130</v>
      </c>
      <c r="E382" s="304" t="s">
        <v>127</v>
      </c>
      <c r="F382" s="304" t="s">
        <v>129</v>
      </c>
      <c r="G382" s="581" t="s">
        <v>7</v>
      </c>
      <c r="S382" s="285"/>
      <c r="T382" s="3"/>
      <c r="AC382" s="285"/>
      <c r="AE382" s="3"/>
    </row>
    <row r="383" spans="1:31" ht="12.75">
      <c r="A383" s="306" t="s">
        <v>107</v>
      </c>
      <c r="B383" s="307">
        <v>2</v>
      </c>
      <c r="C383" s="396">
        <v>1710.6</v>
      </c>
      <c r="D383" s="396">
        <v>1710.6</v>
      </c>
      <c r="E383" s="396">
        <v>1710.6</v>
      </c>
      <c r="F383" s="396">
        <v>1710.6</v>
      </c>
      <c r="G383" s="582"/>
      <c r="S383" s="285"/>
      <c r="T383" s="3"/>
      <c r="AC383" s="285"/>
      <c r="AE383" s="3"/>
    </row>
    <row r="384" spans="1:31" ht="12.75">
      <c r="A384" s="306" t="s">
        <v>108</v>
      </c>
      <c r="B384" s="307">
        <v>3</v>
      </c>
      <c r="C384" s="396">
        <v>1710.6</v>
      </c>
      <c r="D384" s="396">
        <v>1710.6</v>
      </c>
      <c r="E384" s="396">
        <v>1710.6</v>
      </c>
      <c r="F384" s="396">
        <v>1710.6</v>
      </c>
      <c r="G384" s="582"/>
      <c r="S384" s="285"/>
      <c r="T384" s="3"/>
      <c r="AC384" s="285"/>
      <c r="AE384" s="3"/>
    </row>
    <row r="385" spans="1:31" ht="12.75">
      <c r="A385" s="306" t="s">
        <v>109</v>
      </c>
      <c r="B385" s="307">
        <v>4</v>
      </c>
      <c r="C385" s="396">
        <v>1710.6</v>
      </c>
      <c r="D385" s="396">
        <v>1710.6</v>
      </c>
      <c r="E385" s="396">
        <v>1710.6</v>
      </c>
      <c r="F385" s="396">
        <v>1710.6</v>
      </c>
      <c r="G385" s="582"/>
      <c r="S385" s="285"/>
      <c r="T385" s="3"/>
      <c r="AC385" s="285"/>
      <c r="AE385" s="3"/>
    </row>
    <row r="386" spans="1:31" ht="12.75">
      <c r="A386" s="306" t="s">
        <v>110</v>
      </c>
      <c r="B386" s="307">
        <v>5</v>
      </c>
      <c r="C386" s="396">
        <v>2111.16</v>
      </c>
      <c r="D386" s="396">
        <v>2111.16</v>
      </c>
      <c r="E386" s="396">
        <v>2111.16</v>
      </c>
      <c r="F386" s="396">
        <v>2111.16</v>
      </c>
      <c r="G386" s="571" t="s">
        <v>5</v>
      </c>
      <c r="S386" s="285"/>
      <c r="T386" s="3"/>
      <c r="AC386" s="285"/>
      <c r="AE386" s="3"/>
    </row>
    <row r="387" spans="1:31" ht="12.75">
      <c r="A387" s="306" t="s">
        <v>111</v>
      </c>
      <c r="B387" s="307">
        <v>6</v>
      </c>
      <c r="C387" s="396">
        <v>2111.16</v>
      </c>
      <c r="D387" s="396">
        <v>2111.16</v>
      </c>
      <c r="E387" s="396">
        <v>2111.16</v>
      </c>
      <c r="F387" s="396">
        <v>2111.16</v>
      </c>
      <c r="G387" s="572"/>
      <c r="S387" s="285"/>
      <c r="T387" s="3"/>
      <c r="AC387" s="285"/>
      <c r="AE387" s="3"/>
    </row>
    <row r="388" spans="1:31" ht="12.75">
      <c r="A388" s="306" t="s">
        <v>112</v>
      </c>
      <c r="B388" s="307">
        <v>7</v>
      </c>
      <c r="C388" s="396">
        <v>2585.4</v>
      </c>
      <c r="D388" s="396">
        <v>2585.4</v>
      </c>
      <c r="E388" s="396">
        <v>2585.4</v>
      </c>
      <c r="F388" s="396">
        <v>2585.4</v>
      </c>
      <c r="G388" s="573" t="s">
        <v>6</v>
      </c>
      <c r="S388" s="285"/>
      <c r="T388" s="3"/>
      <c r="AC388" s="285"/>
      <c r="AE388" s="3"/>
    </row>
    <row r="389" spans="1:31" ht="12.75">
      <c r="A389" s="306" t="s">
        <v>113</v>
      </c>
      <c r="B389" s="307">
        <v>8</v>
      </c>
      <c r="C389" s="396">
        <v>2585.4</v>
      </c>
      <c r="D389" s="396">
        <v>2585.4</v>
      </c>
      <c r="E389" s="396">
        <v>2585.4</v>
      </c>
      <c r="F389" s="396">
        <v>2585.4</v>
      </c>
      <c r="G389" s="574"/>
      <c r="S389" s="285"/>
      <c r="T389" s="3"/>
      <c r="AC389" s="285"/>
      <c r="AE389" s="3"/>
    </row>
    <row r="390" spans="8:31" ht="12.75">
      <c r="H390" s="412"/>
      <c r="S390" s="285"/>
      <c r="T390" s="3"/>
      <c r="AC390" s="285"/>
      <c r="AE390" s="3"/>
    </row>
    <row r="391" spans="1:31" ht="13.5">
      <c r="A391" s="382" t="s">
        <v>210</v>
      </c>
      <c r="B391" s="218"/>
      <c r="D391" s="398" t="s">
        <v>38</v>
      </c>
      <c r="E391" s="383" t="s">
        <v>39</v>
      </c>
      <c r="F391" s="218"/>
      <c r="H391" s="412"/>
      <c r="S391" s="285"/>
      <c r="T391" s="3"/>
      <c r="AC391" s="285"/>
      <c r="AE391" s="3"/>
    </row>
    <row r="392" spans="1:31" ht="12.75">
      <c r="A392" s="361"/>
      <c r="B392" s="303">
        <v>1</v>
      </c>
      <c r="C392" s="304" t="s">
        <v>128</v>
      </c>
      <c r="D392" s="304" t="s">
        <v>130</v>
      </c>
      <c r="E392" s="304" t="s">
        <v>127</v>
      </c>
      <c r="F392" s="304" t="s">
        <v>129</v>
      </c>
      <c r="G392" s="581" t="s">
        <v>7</v>
      </c>
      <c r="H392" s="412"/>
      <c r="S392" s="285"/>
      <c r="T392" s="3"/>
      <c r="AC392" s="285"/>
      <c r="AE392" s="3"/>
    </row>
    <row r="393" spans="1:31" ht="12.75">
      <c r="A393" s="306" t="s">
        <v>107</v>
      </c>
      <c r="B393" s="307">
        <v>2</v>
      </c>
      <c r="C393" s="396">
        <f>C383+(12.27*12)</f>
        <v>1857.84</v>
      </c>
      <c r="D393" s="396">
        <v>1857.84</v>
      </c>
      <c r="E393" s="396">
        <v>1857.84</v>
      </c>
      <c r="F393" s="396">
        <v>1857.84</v>
      </c>
      <c r="G393" s="582"/>
      <c r="H393" s="412"/>
      <c r="S393" s="285"/>
      <c r="T393" s="3"/>
      <c r="AC393" s="285"/>
      <c r="AE393" s="3"/>
    </row>
    <row r="394" spans="1:31" ht="12.75">
      <c r="A394" s="306" t="s">
        <v>108</v>
      </c>
      <c r="B394" s="307">
        <v>3</v>
      </c>
      <c r="C394" s="396">
        <f>C384+(12.27*12)</f>
        <v>1857.84</v>
      </c>
      <c r="D394" s="396">
        <v>1857.84</v>
      </c>
      <c r="E394" s="396">
        <v>1857.84</v>
      </c>
      <c r="F394" s="396">
        <v>1857.84</v>
      </c>
      <c r="G394" s="582"/>
      <c r="H394" s="412"/>
      <c r="S394" s="285"/>
      <c r="T394" s="3"/>
      <c r="AC394" s="285"/>
      <c r="AE394" s="3"/>
    </row>
    <row r="395" spans="1:31" ht="12.75">
      <c r="A395" s="306" t="s">
        <v>109</v>
      </c>
      <c r="B395" s="307">
        <v>4</v>
      </c>
      <c r="C395" s="396">
        <f>C385+(12.27*12)</f>
        <v>1857.84</v>
      </c>
      <c r="D395" s="396">
        <v>1857.84</v>
      </c>
      <c r="E395" s="396">
        <v>1857.84</v>
      </c>
      <c r="F395" s="396">
        <v>1857.84</v>
      </c>
      <c r="G395" s="582"/>
      <c r="H395" s="412"/>
      <c r="S395" s="285"/>
      <c r="T395" s="3"/>
      <c r="AC395" s="285"/>
      <c r="AE395" s="3"/>
    </row>
    <row r="396" spans="1:31" ht="12.75">
      <c r="A396" s="306" t="s">
        <v>110</v>
      </c>
      <c r="B396" s="307">
        <v>5</v>
      </c>
      <c r="C396" s="396">
        <f>C386+(14.72*12)</f>
        <v>2287.7999999999997</v>
      </c>
      <c r="D396" s="396">
        <v>2287.8</v>
      </c>
      <c r="E396" s="396">
        <v>2287.8</v>
      </c>
      <c r="F396" s="396">
        <v>2287.8</v>
      </c>
      <c r="G396" s="571" t="s">
        <v>5</v>
      </c>
      <c r="H396" s="412"/>
      <c r="S396" s="285"/>
      <c r="T396" s="3"/>
      <c r="AC396" s="285"/>
      <c r="AE396" s="3"/>
    </row>
    <row r="397" spans="1:31" ht="12.75">
      <c r="A397" s="306" t="s">
        <v>111</v>
      </c>
      <c r="B397" s="307">
        <v>6</v>
      </c>
      <c r="C397" s="396">
        <f>190.65*12</f>
        <v>2287.8</v>
      </c>
      <c r="D397" s="396">
        <v>2287.8</v>
      </c>
      <c r="E397" s="396">
        <v>2287.8</v>
      </c>
      <c r="F397" s="396">
        <v>2287.8</v>
      </c>
      <c r="G397" s="572"/>
      <c r="H397" s="412"/>
      <c r="S397" s="285"/>
      <c r="T397" s="3"/>
      <c r="AC397" s="285"/>
      <c r="AE397" s="3"/>
    </row>
    <row r="398" spans="1:31" ht="12.75">
      <c r="A398" s="306" t="s">
        <v>112</v>
      </c>
      <c r="B398" s="307">
        <v>7</v>
      </c>
      <c r="C398" s="396">
        <f>239.17*12</f>
        <v>2870.04</v>
      </c>
      <c r="D398" s="396">
        <v>2870.04</v>
      </c>
      <c r="E398" s="396">
        <v>2870.04</v>
      </c>
      <c r="F398" s="396">
        <v>2870.04</v>
      </c>
      <c r="G398" s="573" t="s">
        <v>6</v>
      </c>
      <c r="H398" s="412"/>
      <c r="S398" s="285"/>
      <c r="T398" s="3"/>
      <c r="AC398" s="285"/>
      <c r="AE398" s="3"/>
    </row>
    <row r="399" spans="1:31" ht="12.75">
      <c r="A399" s="306" t="s">
        <v>113</v>
      </c>
      <c r="B399" s="307">
        <v>8</v>
      </c>
      <c r="C399" s="396">
        <f>239.17*12</f>
        <v>2870.04</v>
      </c>
      <c r="D399" s="396">
        <v>2870.04</v>
      </c>
      <c r="E399" s="396">
        <v>2870.04</v>
      </c>
      <c r="F399" s="396">
        <v>2870.04</v>
      </c>
      <c r="G399" s="574"/>
      <c r="H399" s="412"/>
      <c r="S399" s="285"/>
      <c r="T399" s="3"/>
      <c r="AC399" s="285"/>
      <c r="AE399" s="3"/>
    </row>
    <row r="400" spans="1:31" ht="12.75">
      <c r="A400" s="211"/>
      <c r="B400" s="9"/>
      <c r="C400" s="400"/>
      <c r="D400" s="400"/>
      <c r="E400" s="400"/>
      <c r="F400" s="400"/>
      <c r="G400" s="446"/>
      <c r="H400" s="412"/>
      <c r="S400" s="285"/>
      <c r="T400" s="3"/>
      <c r="AC400" s="285"/>
      <c r="AE400" s="3"/>
    </row>
    <row r="401" spans="1:31" ht="13.5">
      <c r="A401" s="382" t="s">
        <v>210</v>
      </c>
      <c r="B401" s="218"/>
      <c r="D401" s="398" t="s">
        <v>50</v>
      </c>
      <c r="E401" s="383" t="s">
        <v>51</v>
      </c>
      <c r="F401" s="218"/>
      <c r="H401" s="412"/>
      <c r="S401" s="285"/>
      <c r="T401" s="3"/>
      <c r="AC401" s="285"/>
      <c r="AE401" s="3"/>
    </row>
    <row r="402" spans="1:31" ht="12.75">
      <c r="A402" s="361"/>
      <c r="B402" s="303">
        <v>1</v>
      </c>
      <c r="C402" s="304" t="s">
        <v>128</v>
      </c>
      <c r="D402" s="304" t="s">
        <v>130</v>
      </c>
      <c r="E402" s="304" t="s">
        <v>127</v>
      </c>
      <c r="F402" s="304" t="s">
        <v>129</v>
      </c>
      <c r="G402" s="581" t="s">
        <v>7</v>
      </c>
      <c r="H402" s="412"/>
      <c r="S402" s="285"/>
      <c r="T402" s="3"/>
      <c r="AC402" s="285"/>
      <c r="AE402" s="3"/>
    </row>
    <row r="403" spans="1:31" ht="12.75">
      <c r="A403" s="306" t="s">
        <v>107</v>
      </c>
      <c r="B403" s="307">
        <v>2</v>
      </c>
      <c r="C403" s="396">
        <f>164*12</f>
        <v>1968</v>
      </c>
      <c r="D403" s="396">
        <f aca="true" t="shared" si="25" ref="D403:F404">164*12</f>
        <v>1968</v>
      </c>
      <c r="E403" s="396">
        <f t="shared" si="25"/>
        <v>1968</v>
      </c>
      <c r="F403" s="396">
        <f t="shared" si="25"/>
        <v>1968</v>
      </c>
      <c r="G403" s="582"/>
      <c r="H403" s="412"/>
      <c r="S403" s="285"/>
      <c r="T403" s="3"/>
      <c r="AC403" s="285"/>
      <c r="AE403" s="3"/>
    </row>
    <row r="404" spans="1:31" ht="12.75">
      <c r="A404" s="306" t="s">
        <v>108</v>
      </c>
      <c r="B404" s="307">
        <v>3</v>
      </c>
      <c r="C404" s="396">
        <f>164*12</f>
        <v>1968</v>
      </c>
      <c r="D404" s="396">
        <f t="shared" si="25"/>
        <v>1968</v>
      </c>
      <c r="E404" s="396">
        <f t="shared" si="25"/>
        <v>1968</v>
      </c>
      <c r="F404" s="396">
        <f t="shared" si="25"/>
        <v>1968</v>
      </c>
      <c r="G404" s="582"/>
      <c r="H404" s="412"/>
      <c r="S404" s="285"/>
      <c r="T404" s="3"/>
      <c r="AC404" s="285"/>
      <c r="AE404" s="3"/>
    </row>
    <row r="405" spans="1:31" ht="12.75">
      <c r="A405" s="306" t="s">
        <v>109</v>
      </c>
      <c r="B405" s="307">
        <v>4</v>
      </c>
      <c r="C405" s="396">
        <f>202*12</f>
        <v>2424</v>
      </c>
      <c r="D405" s="396">
        <f aca="true" t="shared" si="26" ref="D405:F407">202*12</f>
        <v>2424</v>
      </c>
      <c r="E405" s="396">
        <f t="shared" si="26"/>
        <v>2424</v>
      </c>
      <c r="F405" s="396">
        <f t="shared" si="26"/>
        <v>2424</v>
      </c>
      <c r="G405" s="582"/>
      <c r="H405" s="412"/>
      <c r="S405" s="285"/>
      <c r="T405" s="3"/>
      <c r="AC405" s="285"/>
      <c r="AE405" s="3"/>
    </row>
    <row r="406" spans="1:31" ht="12.75">
      <c r="A406" s="306" t="s">
        <v>110</v>
      </c>
      <c r="B406" s="307">
        <v>5</v>
      </c>
      <c r="C406" s="396">
        <f>202*12</f>
        <v>2424</v>
      </c>
      <c r="D406" s="396">
        <f t="shared" si="26"/>
        <v>2424</v>
      </c>
      <c r="E406" s="396">
        <f t="shared" si="26"/>
        <v>2424</v>
      </c>
      <c r="F406" s="396">
        <f t="shared" si="26"/>
        <v>2424</v>
      </c>
      <c r="G406" s="571" t="s">
        <v>5</v>
      </c>
      <c r="H406" s="412"/>
      <c r="S406" s="285"/>
      <c r="T406" s="3"/>
      <c r="AC406" s="285"/>
      <c r="AE406" s="3"/>
    </row>
    <row r="407" spans="1:31" ht="12.75">
      <c r="A407" s="306" t="s">
        <v>111</v>
      </c>
      <c r="B407" s="307">
        <v>6</v>
      </c>
      <c r="C407" s="396">
        <f>202*12</f>
        <v>2424</v>
      </c>
      <c r="D407" s="396">
        <f t="shared" si="26"/>
        <v>2424</v>
      </c>
      <c r="E407" s="396">
        <f t="shared" si="26"/>
        <v>2424</v>
      </c>
      <c r="F407" s="396">
        <f t="shared" si="26"/>
        <v>2424</v>
      </c>
      <c r="G407" s="572"/>
      <c r="H407" s="412"/>
      <c r="S407" s="285"/>
      <c r="T407" s="3"/>
      <c r="AC407" s="285"/>
      <c r="AE407" s="3"/>
    </row>
    <row r="408" spans="1:31" ht="12.75">
      <c r="A408" s="306" t="s">
        <v>112</v>
      </c>
      <c r="B408" s="307">
        <v>7</v>
      </c>
      <c r="C408" s="396">
        <f>257.5*12</f>
        <v>3090</v>
      </c>
      <c r="D408" s="396">
        <f aca="true" t="shared" si="27" ref="D408:F409">257.5*12</f>
        <v>3090</v>
      </c>
      <c r="E408" s="396">
        <f t="shared" si="27"/>
        <v>3090</v>
      </c>
      <c r="F408" s="396">
        <f t="shared" si="27"/>
        <v>3090</v>
      </c>
      <c r="G408" s="573" t="s">
        <v>6</v>
      </c>
      <c r="H408" s="412"/>
      <c r="S408" s="285"/>
      <c r="T408" s="3"/>
      <c r="AC408" s="285"/>
      <c r="AE408" s="3"/>
    </row>
    <row r="409" spans="1:31" ht="12.75">
      <c r="A409" s="306" t="s">
        <v>113</v>
      </c>
      <c r="B409" s="307">
        <v>8</v>
      </c>
      <c r="C409" s="396">
        <f>257.5*12</f>
        <v>3090</v>
      </c>
      <c r="D409" s="396">
        <f t="shared" si="27"/>
        <v>3090</v>
      </c>
      <c r="E409" s="396">
        <f t="shared" si="27"/>
        <v>3090</v>
      </c>
      <c r="F409" s="396">
        <f t="shared" si="27"/>
        <v>3090</v>
      </c>
      <c r="G409" s="574"/>
      <c r="H409" s="412"/>
      <c r="S409" s="285"/>
      <c r="T409" s="3"/>
      <c r="AC409" s="285"/>
      <c r="AE409" s="3"/>
    </row>
    <row r="410" spans="8:31" ht="12.75">
      <c r="H410" s="412"/>
      <c r="S410" s="285"/>
      <c r="T410" s="3"/>
      <c r="AC410" s="285"/>
      <c r="AE410" s="3"/>
    </row>
    <row r="411" spans="1:31" ht="15">
      <c r="A411" s="380" t="s">
        <v>36</v>
      </c>
      <c r="H411" s="412"/>
      <c r="S411" s="285"/>
      <c r="T411" s="3"/>
      <c r="AC411" s="285"/>
      <c r="AE411" s="3"/>
    </row>
    <row r="412" spans="1:31" ht="12.75">
      <c r="A412" s="420" t="s">
        <v>28</v>
      </c>
      <c r="B412" s="9">
        <v>1</v>
      </c>
      <c r="C412" s="145" t="s">
        <v>96</v>
      </c>
      <c r="D412" s="145" t="s">
        <v>125</v>
      </c>
      <c r="E412" s="145" t="s">
        <v>128</v>
      </c>
      <c r="F412" s="145" t="s">
        <v>130</v>
      </c>
      <c r="G412" s="145" t="s">
        <v>127</v>
      </c>
      <c r="H412" s="145" t="s">
        <v>126</v>
      </c>
      <c r="I412" s="145" t="s">
        <v>129</v>
      </c>
      <c r="S412" s="285"/>
      <c r="T412" s="3"/>
      <c r="AC412" s="285"/>
      <c r="AE412" s="3"/>
    </row>
    <row r="413" spans="1:31" ht="12.75">
      <c r="A413" s="421" t="s">
        <v>29</v>
      </c>
      <c r="B413" s="422">
        <v>2</v>
      </c>
      <c r="C413" s="423">
        <v>25.68</v>
      </c>
      <c r="D413" s="423">
        <v>22.92</v>
      </c>
      <c r="E413" s="423">
        <v>33.64</v>
      </c>
      <c r="F413" s="423">
        <v>36.51</v>
      </c>
      <c r="G413" s="423">
        <v>36.51</v>
      </c>
      <c r="H413" s="423">
        <v>33.95</v>
      </c>
      <c r="I413" s="423">
        <v>33.64</v>
      </c>
      <c r="S413" s="285"/>
      <c r="T413" s="3"/>
      <c r="AC413" s="285"/>
      <c r="AE413" s="3"/>
    </row>
    <row r="414" spans="1:31" ht="14.25" customHeight="1">
      <c r="A414" s="421" t="s">
        <v>108</v>
      </c>
      <c r="B414" s="9">
        <v>3</v>
      </c>
      <c r="C414" s="423">
        <v>26.26</v>
      </c>
      <c r="D414" s="423">
        <v>23.37</v>
      </c>
      <c r="E414" s="423">
        <v>34.55</v>
      </c>
      <c r="F414" s="423">
        <v>38.58</v>
      </c>
      <c r="G414" s="423">
        <v>37.52</v>
      </c>
      <c r="H414" s="423">
        <v>34.94</v>
      </c>
      <c r="I414" s="423">
        <v>34.55</v>
      </c>
      <c r="S414" s="285"/>
      <c r="T414" s="3"/>
      <c r="AC414" s="285"/>
      <c r="AE414" s="3"/>
    </row>
    <row r="415" spans="1:31" ht="12.75">
      <c r="A415" s="421" t="s">
        <v>109</v>
      </c>
      <c r="B415" s="422">
        <v>4</v>
      </c>
      <c r="C415" s="423">
        <v>28.32</v>
      </c>
      <c r="D415" s="423">
        <v>24.98</v>
      </c>
      <c r="E415" s="423">
        <v>37.35</v>
      </c>
      <c r="F415" s="423">
        <v>41.89</v>
      </c>
      <c r="G415" s="423">
        <v>40.82</v>
      </c>
      <c r="H415" s="423">
        <v>38</v>
      </c>
      <c r="I415" s="423">
        <v>37.35</v>
      </c>
      <c r="S415" s="285"/>
      <c r="T415" s="3"/>
      <c r="AC415" s="285"/>
      <c r="AE415" s="3"/>
    </row>
    <row r="416" spans="1:31" ht="12.75">
      <c r="A416" s="421" t="s">
        <v>110</v>
      </c>
      <c r="B416" s="9">
        <v>5</v>
      </c>
      <c r="C416" s="423">
        <v>30.27</v>
      </c>
      <c r="D416" s="423">
        <v>26.49</v>
      </c>
      <c r="E416" s="423">
        <v>40.62</v>
      </c>
      <c r="F416" s="423">
        <v>45.98</v>
      </c>
      <c r="G416" s="423">
        <v>44.61</v>
      </c>
      <c r="H416" s="423">
        <v>41.58</v>
      </c>
      <c r="I416" s="423">
        <v>40.62</v>
      </c>
      <c r="S416" s="285"/>
      <c r="T416" s="3"/>
      <c r="AC416" s="285"/>
      <c r="AE416" s="3"/>
    </row>
    <row r="417" spans="1:31" ht="12.75">
      <c r="A417" s="421" t="s">
        <v>111</v>
      </c>
      <c r="B417" s="422">
        <v>6</v>
      </c>
      <c r="C417" s="423">
        <v>32.23</v>
      </c>
      <c r="D417" s="423">
        <v>27.97</v>
      </c>
      <c r="E417" s="423">
        <v>45.35</v>
      </c>
      <c r="F417" s="423">
        <v>51.18</v>
      </c>
      <c r="G417" s="423">
        <v>48.29</v>
      </c>
      <c r="H417" s="423">
        <v>45.4</v>
      </c>
      <c r="I417" s="423">
        <v>43.79</v>
      </c>
      <c r="S417" s="285"/>
      <c r="T417" s="3"/>
      <c r="AC417" s="285"/>
      <c r="AE417" s="3"/>
    </row>
    <row r="418" spans="1:31" ht="12.75">
      <c r="A418" s="421" t="s">
        <v>112</v>
      </c>
      <c r="B418" s="9">
        <v>7</v>
      </c>
      <c r="C418" s="423">
        <v>33.63</v>
      </c>
      <c r="D418" s="423">
        <v>29.09</v>
      </c>
      <c r="E418" s="423">
        <v>48.46</v>
      </c>
      <c r="F418" s="423">
        <v>54.58</v>
      </c>
      <c r="G418" s="423">
        <v>51.91</v>
      </c>
      <c r="H418" s="423">
        <v>49.33</v>
      </c>
      <c r="I418" s="423">
        <v>46.92</v>
      </c>
      <c r="S418" s="285"/>
      <c r="T418" s="3"/>
      <c r="AC418" s="285"/>
      <c r="AE418" s="3"/>
    </row>
    <row r="419" spans="1:31" ht="12.75">
      <c r="A419" s="421" t="s">
        <v>30</v>
      </c>
      <c r="B419" s="422">
        <v>8</v>
      </c>
      <c r="C419" s="423">
        <v>34.7</v>
      </c>
      <c r="D419" s="423">
        <v>29.87</v>
      </c>
      <c r="E419" s="423">
        <v>50.81</v>
      </c>
      <c r="F419" s="423">
        <v>57.3</v>
      </c>
      <c r="G419" s="423">
        <v>54.58</v>
      </c>
      <c r="H419" s="423">
        <v>53.15</v>
      </c>
      <c r="I419" s="423">
        <v>49.26</v>
      </c>
      <c r="S419" s="285"/>
      <c r="T419" s="3"/>
      <c r="AC419" s="285"/>
      <c r="AE419" s="3"/>
    </row>
    <row r="420" spans="8:31" ht="12.75">
      <c r="H420" s="412"/>
      <c r="S420" s="285"/>
      <c r="T420" s="3"/>
      <c r="AC420" s="285"/>
      <c r="AE420" s="3"/>
    </row>
    <row r="421" spans="1:31" ht="15">
      <c r="A421" s="380" t="s">
        <v>41</v>
      </c>
      <c r="H421" s="412"/>
      <c r="S421" s="285"/>
      <c r="T421" s="3"/>
      <c r="AC421" s="285"/>
      <c r="AE421" s="3"/>
    </row>
    <row r="422" spans="1:31" ht="12.75">
      <c r="A422" s="420" t="s">
        <v>28</v>
      </c>
      <c r="B422" s="9">
        <v>1</v>
      </c>
      <c r="C422" s="145" t="s">
        <v>96</v>
      </c>
      <c r="D422" s="145" t="s">
        <v>125</v>
      </c>
      <c r="E422" s="145" t="s">
        <v>128</v>
      </c>
      <c r="F422" s="145" t="s">
        <v>130</v>
      </c>
      <c r="G422" s="145" t="s">
        <v>127</v>
      </c>
      <c r="H422" s="145" t="s">
        <v>126</v>
      </c>
      <c r="I422" s="145" t="s">
        <v>129</v>
      </c>
      <c r="S422" s="285"/>
      <c r="T422" s="3"/>
      <c r="AC422" s="285"/>
      <c r="AE422" s="3"/>
    </row>
    <row r="423" spans="1:31" ht="12.75">
      <c r="A423" s="421" t="s">
        <v>29</v>
      </c>
      <c r="B423" s="422">
        <v>2</v>
      </c>
      <c r="C423" s="423">
        <f aca="true" t="shared" si="28" ref="C423:C429">C363+(C413*12)</f>
        <v>14904.073666689048</v>
      </c>
      <c r="D423" s="423">
        <f aca="true" t="shared" si="29" ref="D423:I423">D363+(D413*12)</f>
        <v>13304.299478688408</v>
      </c>
      <c r="E423" s="423">
        <f t="shared" si="29"/>
        <v>17107.175684641086</v>
      </c>
      <c r="F423" s="423">
        <f t="shared" si="29"/>
        <v>18566.912337483926</v>
      </c>
      <c r="G423" s="423">
        <f t="shared" si="29"/>
        <v>18566.912337483926</v>
      </c>
      <c r="H423" s="423">
        <f t="shared" si="29"/>
        <v>19704.030000000002</v>
      </c>
      <c r="I423" s="423">
        <f t="shared" si="29"/>
        <v>17107.175684641086</v>
      </c>
      <c r="S423" s="285"/>
      <c r="T423" s="3"/>
      <c r="AC423" s="285"/>
      <c r="AE423" s="3"/>
    </row>
    <row r="424" spans="1:31" ht="14.25" customHeight="1">
      <c r="A424" s="421" t="s">
        <v>108</v>
      </c>
      <c r="B424" s="9">
        <v>3</v>
      </c>
      <c r="C424" s="423">
        <f t="shared" si="28"/>
        <v>15239.053633739097</v>
      </c>
      <c r="D424" s="423">
        <f aca="true" t="shared" si="30" ref="D424:I429">D364+(D414*12)</f>
        <v>13562.728393664107</v>
      </c>
      <c r="E424" s="423">
        <f t="shared" si="30"/>
        <v>17569.35136778445</v>
      </c>
      <c r="F424" s="423">
        <f t="shared" si="30"/>
        <v>19618.808790561234</v>
      </c>
      <c r="G424" s="423">
        <f t="shared" si="30"/>
        <v>19079.565598444435</v>
      </c>
      <c r="H424" s="423">
        <f t="shared" si="30"/>
        <v>20277.68</v>
      </c>
      <c r="I424" s="423">
        <f t="shared" si="30"/>
        <v>17569.35136778445</v>
      </c>
      <c r="S424" s="285"/>
      <c r="T424" s="3"/>
      <c r="AC424" s="285"/>
      <c r="AE424" s="3"/>
    </row>
    <row r="425" spans="1:31" ht="12.75">
      <c r="A425" s="421" t="s">
        <v>109</v>
      </c>
      <c r="B425" s="422">
        <v>4</v>
      </c>
      <c r="C425" s="423">
        <f t="shared" si="28"/>
        <v>16435.167621974208</v>
      </c>
      <c r="D425" s="423">
        <f t="shared" si="30"/>
        <v>14499.38055312534</v>
      </c>
      <c r="E425" s="423">
        <f t="shared" si="30"/>
        <v>18992.641029453538</v>
      </c>
      <c r="F425" s="423">
        <f t="shared" si="30"/>
        <v>21301.88382410511</v>
      </c>
      <c r="G425" s="423">
        <f t="shared" si="30"/>
        <v>20754.930235401054</v>
      </c>
      <c r="H425" s="423">
        <f t="shared" si="30"/>
        <v>22055.28</v>
      </c>
      <c r="I425" s="423">
        <f t="shared" si="30"/>
        <v>18992.641029453538</v>
      </c>
      <c r="S425" s="285"/>
      <c r="T425" s="3"/>
      <c r="AC425" s="285"/>
      <c r="AE425" s="3"/>
    </row>
    <row r="426" spans="1:31" ht="12.75">
      <c r="A426" s="421" t="s">
        <v>110</v>
      </c>
      <c r="B426" s="9">
        <v>5</v>
      </c>
      <c r="C426" s="423">
        <f t="shared" si="28"/>
        <v>17567.96552371312</v>
      </c>
      <c r="D426" s="423">
        <f t="shared" si="30"/>
        <v>15373.593082989459</v>
      </c>
      <c r="E426" s="423">
        <f t="shared" si="30"/>
        <v>20655.1671577311</v>
      </c>
      <c r="F426" s="423">
        <f t="shared" si="30"/>
        <v>23378.173885305252</v>
      </c>
      <c r="G426" s="423">
        <f t="shared" si="30"/>
        <v>22683.679218342484</v>
      </c>
      <c r="H426" s="423">
        <f t="shared" si="30"/>
        <v>24129.98</v>
      </c>
      <c r="I426" s="423">
        <f t="shared" si="30"/>
        <v>20655.1671577311</v>
      </c>
      <c r="S426" s="285"/>
      <c r="T426" s="3"/>
      <c r="AC426" s="285"/>
      <c r="AE426" s="3"/>
    </row>
    <row r="427" spans="1:31" ht="12.75">
      <c r="A427" s="421" t="s">
        <v>111</v>
      </c>
      <c r="B427" s="422">
        <v>6</v>
      </c>
      <c r="C427" s="423">
        <f t="shared" si="28"/>
        <v>18707.560908241103</v>
      </c>
      <c r="D427" s="423">
        <f t="shared" si="30"/>
        <v>16234.210647275431</v>
      </c>
      <c r="E427" s="423">
        <f t="shared" si="30"/>
        <v>23060.99616009131</v>
      </c>
      <c r="F427" s="423">
        <f t="shared" si="30"/>
        <v>26022.60289737485</v>
      </c>
      <c r="G427" s="423">
        <f t="shared" si="30"/>
        <v>24556.306054475874</v>
      </c>
      <c r="H427" s="423">
        <f t="shared" si="30"/>
        <v>26349.309999999998</v>
      </c>
      <c r="I427" s="423">
        <f t="shared" si="30"/>
        <v>22268.645078888792</v>
      </c>
      <c r="S427" s="285"/>
      <c r="T427" s="3"/>
      <c r="AC427" s="285"/>
      <c r="AE427" s="3"/>
    </row>
    <row r="428" spans="1:31" ht="12.75">
      <c r="A428" s="421" t="s">
        <v>112</v>
      </c>
      <c r="B428" s="9">
        <v>7</v>
      </c>
      <c r="C428" s="423">
        <f t="shared" si="28"/>
        <v>19519.09380850811</v>
      </c>
      <c r="D428" s="423">
        <f t="shared" si="30"/>
        <v>16883.381676109224</v>
      </c>
      <c r="E428" s="423">
        <f t="shared" si="30"/>
        <v>24639.657296606365</v>
      </c>
      <c r="F428" s="423">
        <f t="shared" si="30"/>
        <v>27755.12259493769</v>
      </c>
      <c r="G428" s="423">
        <f t="shared" si="30"/>
        <v>26393.47964906754</v>
      </c>
      <c r="H428" s="423">
        <f t="shared" si="30"/>
        <v>28629.66</v>
      </c>
      <c r="I428" s="423">
        <f t="shared" si="30"/>
        <v>23860.66118098199</v>
      </c>
      <c r="S428" s="285"/>
      <c r="T428" s="3"/>
      <c r="AC428" s="285"/>
      <c r="AE428" s="3"/>
    </row>
    <row r="429" spans="1:31" ht="12.75">
      <c r="A429" s="421" t="s">
        <v>30</v>
      </c>
      <c r="B429" s="422">
        <v>8</v>
      </c>
      <c r="C429" s="423">
        <f t="shared" si="28"/>
        <v>20141.038449286516</v>
      </c>
      <c r="D429" s="423">
        <f t="shared" si="30"/>
        <v>17338.352790261688</v>
      </c>
      <c r="E429" s="423">
        <f t="shared" si="30"/>
        <v>25838.854827942385</v>
      </c>
      <c r="F429" s="423">
        <f t="shared" si="30"/>
        <v>29136.281532275974</v>
      </c>
      <c r="G429" s="423">
        <f t="shared" si="30"/>
        <v>27755.12259493769</v>
      </c>
      <c r="H429" s="423">
        <f t="shared" si="30"/>
        <v>30847.84</v>
      </c>
      <c r="I429" s="423">
        <f t="shared" si="30"/>
        <v>25046.107289840777</v>
      </c>
      <c r="S429" s="285"/>
      <c r="T429" s="3"/>
      <c r="AC429" s="285"/>
      <c r="AE429" s="3"/>
    </row>
    <row r="430" spans="1:31" ht="12.75">
      <c r="A430" s="428"/>
      <c r="B430" s="429"/>
      <c r="C430" s="430"/>
      <c r="D430" s="430"/>
      <c r="E430" s="430"/>
      <c r="F430" s="430"/>
      <c r="G430" s="430"/>
      <c r="H430" s="430"/>
      <c r="I430" s="430"/>
      <c r="S430" s="285"/>
      <c r="T430" s="3"/>
      <c r="AC430" s="285"/>
      <c r="AE430" s="3"/>
    </row>
    <row r="431" spans="1:31" ht="13.5">
      <c r="A431" s="470" t="s">
        <v>61</v>
      </c>
      <c r="B431" s="34"/>
      <c r="C431" s="34"/>
      <c r="D431" s="34"/>
      <c r="E431" s="34"/>
      <c r="F431" s="447" t="s">
        <v>205</v>
      </c>
      <c r="G431" s="34"/>
      <c r="H431" s="34"/>
      <c r="I431" s="34"/>
      <c r="S431" s="285"/>
      <c r="T431" s="3"/>
      <c r="AC431" s="285"/>
      <c r="AE431" s="3"/>
    </row>
    <row r="432" spans="1:31" ht="12.75">
      <c r="A432" s="420" t="s">
        <v>28</v>
      </c>
      <c r="B432" s="9">
        <v>1</v>
      </c>
      <c r="C432" s="145" t="s">
        <v>96</v>
      </c>
      <c r="D432" s="145" t="s">
        <v>125</v>
      </c>
      <c r="E432" s="145" t="s">
        <v>128</v>
      </c>
      <c r="F432" s="145" t="s">
        <v>130</v>
      </c>
      <c r="G432" s="145" t="s">
        <v>127</v>
      </c>
      <c r="H432" s="145" t="s">
        <v>126</v>
      </c>
      <c r="I432" s="145" t="s">
        <v>129</v>
      </c>
      <c r="S432" s="285"/>
      <c r="T432" s="3"/>
      <c r="AC432" s="285"/>
      <c r="AE432" s="3"/>
    </row>
    <row r="433" spans="1:31" ht="12.75">
      <c r="A433" s="421" t="s">
        <v>29</v>
      </c>
      <c r="B433" s="422">
        <v>2</v>
      </c>
      <c r="C433" s="423">
        <v>15302.38</v>
      </c>
      <c r="D433" s="423">
        <v>13659.9</v>
      </c>
      <c r="E433" s="423">
        <v>17582.23</v>
      </c>
      <c r="F433" s="423">
        <v>19082.5</v>
      </c>
      <c r="G433" s="423">
        <v>19082.5</v>
      </c>
      <c r="H433" s="423">
        <v>20230.62</v>
      </c>
      <c r="I433" s="423">
        <v>17582.23</v>
      </c>
      <c r="S433" s="285"/>
      <c r="T433" s="3"/>
      <c r="AC433" s="285"/>
      <c r="AE433" s="3"/>
    </row>
    <row r="434" spans="1:31" ht="12.75">
      <c r="A434" s="421" t="s">
        <v>108</v>
      </c>
      <c r="B434" s="9">
        <v>3</v>
      </c>
      <c r="C434" s="423">
        <v>15646.28</v>
      </c>
      <c r="D434" s="423">
        <v>13925.18</v>
      </c>
      <c r="E434" s="423">
        <v>18057.22</v>
      </c>
      <c r="F434" s="423">
        <v>20163.59</v>
      </c>
      <c r="G434" s="423">
        <v>19609.37</v>
      </c>
      <c r="H434" s="423">
        <v>20819.59</v>
      </c>
      <c r="I434" s="423">
        <v>18057.22</v>
      </c>
      <c r="S434" s="285"/>
      <c r="T434" s="3"/>
      <c r="AC434" s="285"/>
      <c r="AE434" s="3"/>
    </row>
    <row r="435" spans="1:31" ht="12.75">
      <c r="A435" s="421" t="s">
        <v>109</v>
      </c>
      <c r="B435" s="422">
        <v>4</v>
      </c>
      <c r="C435" s="423">
        <v>16874.38</v>
      </c>
      <c r="D435" s="423">
        <v>14886.91</v>
      </c>
      <c r="E435" s="423">
        <v>19520.02</v>
      </c>
      <c r="F435" s="423">
        <v>21893.39</v>
      </c>
      <c r="G435" s="423">
        <v>21331.19</v>
      </c>
      <c r="H435" s="423">
        <v>22644.73</v>
      </c>
      <c r="I435" s="423">
        <v>19520.02</v>
      </c>
      <c r="S435" s="285"/>
      <c r="T435" s="3"/>
      <c r="AC435" s="285"/>
      <c r="AE435" s="3"/>
    </row>
    <row r="436" spans="1:31" ht="12.75">
      <c r="A436" s="421" t="s">
        <v>110</v>
      </c>
      <c r="B436" s="9">
        <v>5</v>
      </c>
      <c r="C436" s="423">
        <v>18037.47</v>
      </c>
      <c r="D436" s="423">
        <v>15784.44</v>
      </c>
      <c r="E436" s="423">
        <v>21228.7</v>
      </c>
      <c r="F436" s="423">
        <v>24027.25</v>
      </c>
      <c r="G436" s="423">
        <v>23313.53</v>
      </c>
      <c r="H436" s="423">
        <v>24774.81</v>
      </c>
      <c r="I436" s="423">
        <v>21228.7</v>
      </c>
      <c r="S436" s="285"/>
      <c r="T436" s="3"/>
      <c r="AC436" s="285"/>
      <c r="AE436" s="3"/>
    </row>
    <row r="437" spans="1:31" ht="12.75">
      <c r="A437" s="421" t="s">
        <v>111</v>
      </c>
      <c r="B437" s="422">
        <v>6</v>
      </c>
      <c r="C437" s="423">
        <v>19207.56</v>
      </c>
      <c r="D437" s="423">
        <v>16668.09</v>
      </c>
      <c r="E437" s="423">
        <v>23701.35</v>
      </c>
      <c r="F437" s="423">
        <v>26745.11</v>
      </c>
      <c r="G437" s="423">
        <v>25238.19</v>
      </c>
      <c r="H437" s="423">
        <v>27053.5</v>
      </c>
      <c r="I437" s="423">
        <v>22887.02</v>
      </c>
      <c r="S437" s="285"/>
      <c r="T437" s="3"/>
      <c r="AC437" s="285"/>
      <c r="AE437" s="3"/>
    </row>
    <row r="438" spans="1:31" ht="12.75">
      <c r="A438" s="421" t="s">
        <v>112</v>
      </c>
      <c r="B438" s="9">
        <v>7</v>
      </c>
      <c r="C438" s="423">
        <v>20040.76</v>
      </c>
      <c r="D438" s="423">
        <v>17334.59</v>
      </c>
      <c r="E438" s="423">
        <v>25323.78</v>
      </c>
      <c r="F438" s="423">
        <v>28525.83</v>
      </c>
      <c r="G438" s="423">
        <v>27126.29</v>
      </c>
      <c r="H438" s="423">
        <v>29394.78</v>
      </c>
      <c r="I438" s="423">
        <v>24523.25</v>
      </c>
      <c r="S438" s="285"/>
      <c r="T438" s="3"/>
      <c r="AC438" s="285"/>
      <c r="AE438" s="3"/>
    </row>
    <row r="439" spans="1:31" ht="12.75">
      <c r="A439" s="421" t="s">
        <v>30</v>
      </c>
      <c r="B439" s="422">
        <v>8</v>
      </c>
      <c r="C439" s="423">
        <v>20679.35</v>
      </c>
      <c r="D439" s="423">
        <v>17801.77</v>
      </c>
      <c r="E439" s="423">
        <v>26556.37</v>
      </c>
      <c r="F439" s="423">
        <v>29945.29</v>
      </c>
      <c r="G439" s="423">
        <v>28525.83</v>
      </c>
      <c r="H439" s="423">
        <v>31672.27</v>
      </c>
      <c r="I439" s="423">
        <v>25741.51</v>
      </c>
      <c r="S439" s="285"/>
      <c r="T439" s="3"/>
      <c r="AC439" s="285"/>
      <c r="AE439" s="3"/>
    </row>
    <row r="440" spans="19:31" ht="12.75">
      <c r="S440" s="285"/>
      <c r="T440" s="3"/>
      <c r="AC440" s="285"/>
      <c r="AE440" s="3"/>
    </row>
    <row r="441" spans="1:31" ht="15">
      <c r="A441" s="444" t="s">
        <v>62</v>
      </c>
      <c r="B441" s="34"/>
      <c r="C441" s="34"/>
      <c r="D441" s="34"/>
      <c r="E441" s="34"/>
      <c r="F441" s="34"/>
      <c r="G441" s="449" t="s">
        <v>72</v>
      </c>
      <c r="H441" s="34"/>
      <c r="I441" s="34"/>
      <c r="K441" s="444" t="s">
        <v>67</v>
      </c>
      <c r="L441" s="34"/>
      <c r="M441" s="34"/>
      <c r="N441" s="34"/>
      <c r="O441" s="34"/>
      <c r="P441" s="34"/>
      <c r="Q441" s="449"/>
      <c r="R441" s="34"/>
      <c r="S441" s="34"/>
      <c r="T441" s="3"/>
      <c r="AC441" s="285"/>
      <c r="AE441" s="3"/>
    </row>
    <row r="442" spans="1:31" ht="12.75">
      <c r="A442" s="420" t="s">
        <v>28</v>
      </c>
      <c r="B442" s="9">
        <v>1</v>
      </c>
      <c r="C442" s="145" t="s">
        <v>96</v>
      </c>
      <c r="D442" s="145" t="s">
        <v>125</v>
      </c>
      <c r="E442" s="145" t="s">
        <v>128</v>
      </c>
      <c r="F442" s="145" t="s">
        <v>130</v>
      </c>
      <c r="G442" s="145" t="s">
        <v>127</v>
      </c>
      <c r="H442" s="145" t="s">
        <v>126</v>
      </c>
      <c r="I442" s="145" t="s">
        <v>129</v>
      </c>
      <c r="K442" s="420" t="s">
        <v>28</v>
      </c>
      <c r="L442" s="9">
        <v>1</v>
      </c>
      <c r="M442" s="145" t="s">
        <v>96</v>
      </c>
      <c r="N442" s="145" t="s">
        <v>125</v>
      </c>
      <c r="O442" s="145" t="s">
        <v>128</v>
      </c>
      <c r="P442" s="145" t="s">
        <v>130</v>
      </c>
      <c r="Q442" s="145" t="s">
        <v>127</v>
      </c>
      <c r="R442" s="145" t="s">
        <v>126</v>
      </c>
      <c r="S442" s="145" t="s">
        <v>129</v>
      </c>
      <c r="T442" s="3"/>
      <c r="AC442" s="285"/>
      <c r="AE442" s="3"/>
    </row>
    <row r="443" spans="1:31" ht="12.75">
      <c r="A443" s="421" t="s">
        <v>29</v>
      </c>
      <c r="B443" s="422">
        <v>2</v>
      </c>
      <c r="C443" s="423">
        <v>5.85</v>
      </c>
      <c r="D443" s="423">
        <v>5.22</v>
      </c>
      <c r="E443" s="423">
        <v>6.79</v>
      </c>
      <c r="F443" s="423">
        <v>8.37</v>
      </c>
      <c r="G443" s="423">
        <v>7.37</v>
      </c>
      <c r="H443" s="423">
        <v>7.74</v>
      </c>
      <c r="I443" s="423">
        <v>6.79</v>
      </c>
      <c r="K443" s="421" t="s">
        <v>29</v>
      </c>
      <c r="L443" s="422">
        <v>2</v>
      </c>
      <c r="M443" s="423">
        <f aca="true" t="shared" si="31" ref="M443:R448">C433+(C443*12)</f>
        <v>15372.58</v>
      </c>
      <c r="N443" s="423">
        <f t="shared" si="31"/>
        <v>13722.539999999999</v>
      </c>
      <c r="O443" s="423">
        <f t="shared" si="31"/>
        <v>17663.71</v>
      </c>
      <c r="P443" s="423">
        <f t="shared" si="31"/>
        <v>19182.94</v>
      </c>
      <c r="Q443" s="423">
        <f t="shared" si="31"/>
        <v>19170.94</v>
      </c>
      <c r="R443" s="423">
        <f t="shared" si="31"/>
        <v>20323.5</v>
      </c>
      <c r="S443" s="423">
        <f aca="true" t="shared" si="32" ref="S443:S449">I433+(I443*12)</f>
        <v>17663.71</v>
      </c>
      <c r="T443" s="3"/>
      <c r="AC443" s="285"/>
      <c r="AE443" s="3"/>
    </row>
    <row r="444" spans="1:31" ht="12.75">
      <c r="A444" s="421" t="s">
        <v>108</v>
      </c>
      <c r="B444" s="9">
        <v>3</v>
      </c>
      <c r="C444" s="423">
        <v>5.98</v>
      </c>
      <c r="D444" s="423">
        <v>5.32</v>
      </c>
      <c r="E444" s="423">
        <v>6.97</v>
      </c>
      <c r="F444" s="423">
        <v>7.78</v>
      </c>
      <c r="G444" s="423">
        <v>7.57</v>
      </c>
      <c r="H444" s="423">
        <v>7.96</v>
      </c>
      <c r="I444" s="423">
        <v>6.97</v>
      </c>
      <c r="K444" s="421" t="s">
        <v>108</v>
      </c>
      <c r="L444" s="9">
        <v>3</v>
      </c>
      <c r="M444" s="423">
        <f t="shared" si="31"/>
        <v>15718.04</v>
      </c>
      <c r="N444" s="423">
        <f t="shared" si="31"/>
        <v>13989.02</v>
      </c>
      <c r="O444" s="423">
        <f t="shared" si="31"/>
        <v>18140.86</v>
      </c>
      <c r="P444" s="423">
        <f t="shared" si="31"/>
        <v>20256.95</v>
      </c>
      <c r="Q444" s="423">
        <f t="shared" si="31"/>
        <v>19700.21</v>
      </c>
      <c r="R444" s="423">
        <f t="shared" si="31"/>
        <v>20915.11</v>
      </c>
      <c r="S444" s="423">
        <f t="shared" si="32"/>
        <v>18140.86</v>
      </c>
      <c r="T444" s="3"/>
      <c r="AC444" s="285"/>
      <c r="AE444" s="3"/>
    </row>
    <row r="445" spans="1:31" ht="12.75">
      <c r="A445" s="421" t="s">
        <v>109</v>
      </c>
      <c r="B445" s="422">
        <v>4</v>
      </c>
      <c r="C445" s="423">
        <v>6.45</v>
      </c>
      <c r="D445" s="423">
        <v>5.69</v>
      </c>
      <c r="E445" s="423">
        <v>7.53</v>
      </c>
      <c r="F445" s="423">
        <v>8.45</v>
      </c>
      <c r="G445" s="423">
        <v>8.23</v>
      </c>
      <c r="H445" s="423">
        <v>8.66</v>
      </c>
      <c r="I445" s="423">
        <v>7.53</v>
      </c>
      <c r="K445" s="421" t="s">
        <v>109</v>
      </c>
      <c r="L445" s="422">
        <v>4</v>
      </c>
      <c r="M445" s="423">
        <f t="shared" si="31"/>
        <v>16951.780000000002</v>
      </c>
      <c r="N445" s="423">
        <f t="shared" si="31"/>
        <v>14955.19</v>
      </c>
      <c r="O445" s="423">
        <f t="shared" si="31"/>
        <v>19610.38</v>
      </c>
      <c r="P445" s="423">
        <f t="shared" si="31"/>
        <v>21994.79</v>
      </c>
      <c r="Q445" s="423">
        <f t="shared" si="31"/>
        <v>21429.949999999997</v>
      </c>
      <c r="R445" s="423">
        <f t="shared" si="31"/>
        <v>22748.649999999998</v>
      </c>
      <c r="S445" s="423">
        <f t="shared" si="32"/>
        <v>19610.38</v>
      </c>
      <c r="T445" s="3"/>
      <c r="AC445" s="285"/>
      <c r="AE445" s="3"/>
    </row>
    <row r="446" spans="1:31" ht="12.75">
      <c r="A446" s="421" t="s">
        <v>110</v>
      </c>
      <c r="B446" s="9">
        <v>5</v>
      </c>
      <c r="C446" s="423">
        <v>6.9</v>
      </c>
      <c r="D446" s="423">
        <v>6.04</v>
      </c>
      <c r="E446" s="423">
        <v>8.19</v>
      </c>
      <c r="F446" s="423">
        <v>9.27</v>
      </c>
      <c r="G446" s="423">
        <v>9</v>
      </c>
      <c r="H446" s="423">
        <v>9.47</v>
      </c>
      <c r="I446" s="423">
        <v>8.19</v>
      </c>
      <c r="K446" s="421" t="s">
        <v>110</v>
      </c>
      <c r="L446" s="9">
        <v>5</v>
      </c>
      <c r="M446" s="423">
        <f t="shared" si="31"/>
        <v>18120.27</v>
      </c>
      <c r="N446" s="423">
        <f t="shared" si="31"/>
        <v>15856.92</v>
      </c>
      <c r="O446" s="423">
        <f t="shared" si="31"/>
        <v>21326.98</v>
      </c>
      <c r="P446" s="423">
        <f t="shared" si="31"/>
        <v>24138.49</v>
      </c>
      <c r="Q446" s="423">
        <f t="shared" si="31"/>
        <v>23421.53</v>
      </c>
      <c r="R446" s="423">
        <f t="shared" si="31"/>
        <v>24888.45</v>
      </c>
      <c r="S446" s="423">
        <f t="shared" si="32"/>
        <v>21326.98</v>
      </c>
      <c r="T446" s="3"/>
      <c r="AC446" s="285"/>
      <c r="AE446" s="3"/>
    </row>
    <row r="447" spans="1:31" ht="12.75">
      <c r="A447" s="421" t="s">
        <v>111</v>
      </c>
      <c r="B447" s="422">
        <v>6</v>
      </c>
      <c r="C447" s="423">
        <v>7.34</v>
      </c>
      <c r="D447" s="423">
        <v>6.37</v>
      </c>
      <c r="E447" s="423">
        <v>9.15</v>
      </c>
      <c r="F447" s="423">
        <v>10.32</v>
      </c>
      <c r="G447" s="423">
        <v>9.74</v>
      </c>
      <c r="H447" s="423">
        <v>10.35</v>
      </c>
      <c r="I447" s="423">
        <v>8.83</v>
      </c>
      <c r="K447" s="421" t="s">
        <v>111</v>
      </c>
      <c r="L447" s="422">
        <v>6</v>
      </c>
      <c r="M447" s="423">
        <f t="shared" si="31"/>
        <v>19295.640000000003</v>
      </c>
      <c r="N447" s="423">
        <f t="shared" si="31"/>
        <v>16744.53</v>
      </c>
      <c r="O447" s="423">
        <f t="shared" si="31"/>
        <v>23811.149999999998</v>
      </c>
      <c r="P447" s="423">
        <f t="shared" si="31"/>
        <v>26868.95</v>
      </c>
      <c r="Q447" s="423">
        <f t="shared" si="31"/>
        <v>25355.07</v>
      </c>
      <c r="R447" s="423">
        <f t="shared" si="31"/>
        <v>27177.7</v>
      </c>
      <c r="S447" s="423">
        <f t="shared" si="32"/>
        <v>22992.98</v>
      </c>
      <c r="T447" s="3"/>
      <c r="AC447" s="285"/>
      <c r="AE447" s="3"/>
    </row>
    <row r="448" spans="1:31" ht="12.75">
      <c r="A448" s="421" t="s">
        <v>112</v>
      </c>
      <c r="B448" s="9">
        <v>7</v>
      </c>
      <c r="C448" s="423">
        <v>7.66</v>
      </c>
      <c r="D448" s="423">
        <v>6.63</v>
      </c>
      <c r="E448" s="423">
        <v>9.77</v>
      </c>
      <c r="F448" s="423">
        <v>11.01</v>
      </c>
      <c r="G448" s="423">
        <v>10.47</v>
      </c>
      <c r="H448" s="423">
        <v>11.24</v>
      </c>
      <c r="I448" s="423">
        <v>9.47</v>
      </c>
      <c r="K448" s="421" t="s">
        <v>112</v>
      </c>
      <c r="L448" s="9">
        <v>7</v>
      </c>
      <c r="M448" s="423">
        <f t="shared" si="31"/>
        <v>20132.679999999997</v>
      </c>
      <c r="N448" s="423">
        <f t="shared" si="31"/>
        <v>17414.15</v>
      </c>
      <c r="O448" s="423">
        <f t="shared" si="31"/>
        <v>25441.02</v>
      </c>
      <c r="P448" s="423">
        <f t="shared" si="31"/>
        <v>28657.95</v>
      </c>
      <c r="Q448" s="423">
        <f t="shared" si="31"/>
        <v>27251.93</v>
      </c>
      <c r="R448" s="423">
        <f t="shared" si="31"/>
        <v>29529.66</v>
      </c>
      <c r="S448" s="423">
        <f t="shared" si="32"/>
        <v>24636.89</v>
      </c>
      <c r="T448" s="3"/>
      <c r="AC448" s="285"/>
      <c r="AE448" s="3"/>
    </row>
    <row r="449" spans="1:31" ht="12.75">
      <c r="A449" s="421" t="s">
        <v>30</v>
      </c>
      <c r="B449" s="422">
        <v>8</v>
      </c>
      <c r="C449" s="423">
        <v>7.91</v>
      </c>
      <c r="D449" s="423">
        <v>6.81</v>
      </c>
      <c r="E449" s="423">
        <v>10.25</v>
      </c>
      <c r="F449" s="423">
        <v>11.56</v>
      </c>
      <c r="G449" s="423">
        <v>11.01</v>
      </c>
      <c r="H449" s="423">
        <v>12.11</v>
      </c>
      <c r="I449" s="423">
        <v>9.94</v>
      </c>
      <c r="K449" s="421" t="s">
        <v>30</v>
      </c>
      <c r="L449" s="422">
        <v>8</v>
      </c>
      <c r="M449" s="423">
        <f aca="true" t="shared" si="33" ref="M449:R449">C439+(C449*12)</f>
        <v>20774.269999999997</v>
      </c>
      <c r="N449" s="423">
        <f t="shared" si="33"/>
        <v>17883.49</v>
      </c>
      <c r="O449" s="423">
        <f t="shared" si="33"/>
        <v>26679.37</v>
      </c>
      <c r="P449" s="423">
        <f t="shared" si="33"/>
        <v>30084.010000000002</v>
      </c>
      <c r="Q449" s="423">
        <f t="shared" si="33"/>
        <v>28657.95</v>
      </c>
      <c r="R449" s="423">
        <f t="shared" si="33"/>
        <v>31817.59</v>
      </c>
      <c r="S449" s="423">
        <f t="shared" si="32"/>
        <v>25860.789999999997</v>
      </c>
      <c r="T449" s="3"/>
      <c r="AC449" s="285"/>
      <c r="AE449" s="3"/>
    </row>
    <row r="450" spans="19:31" ht="12.75">
      <c r="S450" s="285"/>
      <c r="T450" s="3"/>
      <c r="AC450" s="285"/>
      <c r="AE450" s="3"/>
    </row>
    <row r="451" spans="1:31" ht="15">
      <c r="A451" s="444" t="s">
        <v>48</v>
      </c>
      <c r="B451" s="34"/>
      <c r="C451" s="34"/>
      <c r="D451" s="34"/>
      <c r="E451" s="34"/>
      <c r="F451" s="34"/>
      <c r="G451" s="34"/>
      <c r="H451" s="34"/>
      <c r="I451" s="34"/>
      <c r="K451" s="444" t="s">
        <v>66</v>
      </c>
      <c r="L451" s="34"/>
      <c r="M451" s="34"/>
      <c r="N451" s="34"/>
      <c r="O451" s="34"/>
      <c r="P451" s="34"/>
      <c r="Q451" s="34" t="s">
        <v>68</v>
      </c>
      <c r="R451" s="34"/>
      <c r="S451" s="34"/>
      <c r="T451" s="3"/>
      <c r="AC451" s="285"/>
      <c r="AE451" s="3"/>
    </row>
    <row r="452" spans="1:31" ht="12.75">
      <c r="A452" s="420" t="s">
        <v>28</v>
      </c>
      <c r="B452" s="9">
        <v>1</v>
      </c>
      <c r="C452" s="145" t="s">
        <v>96</v>
      </c>
      <c r="D452" s="145" t="s">
        <v>125</v>
      </c>
      <c r="E452" s="145" t="s">
        <v>128</v>
      </c>
      <c r="F452" s="145" t="s">
        <v>130</v>
      </c>
      <c r="G452" s="145" t="s">
        <v>127</v>
      </c>
      <c r="H452" s="145" t="s">
        <v>126</v>
      </c>
      <c r="I452" s="145" t="s">
        <v>129</v>
      </c>
      <c r="K452" s="420" t="s">
        <v>28</v>
      </c>
      <c r="L452" s="9">
        <v>1</v>
      </c>
      <c r="M452" s="145" t="s">
        <v>96</v>
      </c>
      <c r="N452" s="145" t="s">
        <v>125</v>
      </c>
      <c r="O452" s="145" t="s">
        <v>128</v>
      </c>
      <c r="P452" s="145" t="s">
        <v>130</v>
      </c>
      <c r="Q452" s="145" t="s">
        <v>127</v>
      </c>
      <c r="R452" s="145" t="s">
        <v>126</v>
      </c>
      <c r="S452" s="145" t="s">
        <v>129</v>
      </c>
      <c r="T452" s="3"/>
      <c r="AC452" s="285"/>
      <c r="AE452" s="3"/>
    </row>
    <row r="453" spans="1:31" ht="12.75">
      <c r="A453" s="421" t="s">
        <v>29</v>
      </c>
      <c r="B453" s="422">
        <v>2</v>
      </c>
      <c r="C453" s="445">
        <v>30.01</v>
      </c>
      <c r="D453" s="445">
        <v>26.79</v>
      </c>
      <c r="E453" s="445">
        <v>34.8</v>
      </c>
      <c r="F453" s="445">
        <v>37.77</v>
      </c>
      <c r="G453" s="445">
        <v>37.77</v>
      </c>
      <c r="H453" s="445">
        <v>39.67</v>
      </c>
      <c r="I453" s="445">
        <v>34.8</v>
      </c>
      <c r="K453" s="421" t="s">
        <v>29</v>
      </c>
      <c r="L453" s="422">
        <v>2</v>
      </c>
      <c r="M453" s="445">
        <f aca="true" t="shared" si="34" ref="M453:R458">C433+(C453*12)</f>
        <v>15662.5</v>
      </c>
      <c r="N453" s="445">
        <f t="shared" si="34"/>
        <v>13981.38</v>
      </c>
      <c r="O453" s="445">
        <f t="shared" si="34"/>
        <v>17999.829999999998</v>
      </c>
      <c r="P453" s="445">
        <f t="shared" si="34"/>
        <v>19535.74</v>
      </c>
      <c r="Q453" s="445">
        <f t="shared" si="34"/>
        <v>19535.74</v>
      </c>
      <c r="R453" s="445">
        <f t="shared" si="34"/>
        <v>20706.66</v>
      </c>
      <c r="S453" s="445">
        <f aca="true" t="shared" si="35" ref="S453:S459">I433+(I453*12)</f>
        <v>17999.829999999998</v>
      </c>
      <c r="T453" s="3"/>
      <c r="AC453" s="285"/>
      <c r="AE453" s="3"/>
    </row>
    <row r="454" spans="1:31" ht="12.75">
      <c r="A454" s="421" t="s">
        <v>108</v>
      </c>
      <c r="B454" s="9">
        <v>3</v>
      </c>
      <c r="C454" s="445">
        <v>30.68</v>
      </c>
      <c r="D454" s="445">
        <v>27.31</v>
      </c>
      <c r="E454" s="445">
        <v>35.74</v>
      </c>
      <c r="F454" s="445">
        <v>39.91</v>
      </c>
      <c r="G454" s="445">
        <v>38.82</v>
      </c>
      <c r="H454" s="445">
        <v>40.83</v>
      </c>
      <c r="I454" s="445">
        <v>35.74</v>
      </c>
      <c r="K454" s="421" t="s">
        <v>108</v>
      </c>
      <c r="L454" s="9">
        <v>3</v>
      </c>
      <c r="M454" s="445">
        <f t="shared" si="34"/>
        <v>16014.44</v>
      </c>
      <c r="N454" s="445">
        <f t="shared" si="34"/>
        <v>14252.9</v>
      </c>
      <c r="O454" s="445">
        <f t="shared" si="34"/>
        <v>18486.100000000002</v>
      </c>
      <c r="P454" s="445">
        <f t="shared" si="34"/>
        <v>20642.51</v>
      </c>
      <c r="Q454" s="445">
        <f t="shared" si="34"/>
        <v>20075.21</v>
      </c>
      <c r="R454" s="445">
        <f>H434+(H454*12)</f>
        <v>21309.55</v>
      </c>
      <c r="S454" s="445">
        <f t="shared" si="35"/>
        <v>18486.100000000002</v>
      </c>
      <c r="T454" s="3"/>
      <c r="AC454" s="285"/>
      <c r="AE454" s="3"/>
    </row>
    <row r="455" spans="1:19" ht="12.75">
      <c r="A455" s="421" t="s">
        <v>109</v>
      </c>
      <c r="B455" s="422">
        <v>4</v>
      </c>
      <c r="C455" s="445">
        <v>33.09</v>
      </c>
      <c r="D455" s="445">
        <v>29.19</v>
      </c>
      <c r="E455" s="445">
        <v>38.64</v>
      </c>
      <c r="F455" s="445">
        <v>43.34</v>
      </c>
      <c r="G455" s="445">
        <v>42.22</v>
      </c>
      <c r="H455" s="445">
        <v>44.41</v>
      </c>
      <c r="I455" s="445">
        <v>38.64</v>
      </c>
      <c r="K455" s="421" t="s">
        <v>109</v>
      </c>
      <c r="L455" s="422">
        <v>4</v>
      </c>
      <c r="M455" s="445">
        <f t="shared" si="34"/>
        <v>17271.460000000003</v>
      </c>
      <c r="N455" s="445">
        <f t="shared" si="34"/>
        <v>15237.19</v>
      </c>
      <c r="O455" s="445">
        <f t="shared" si="34"/>
        <v>19983.7</v>
      </c>
      <c r="P455" s="445">
        <f t="shared" si="34"/>
        <v>22413.47</v>
      </c>
      <c r="Q455" s="445">
        <f t="shared" si="34"/>
        <v>21837.829999999998</v>
      </c>
      <c r="R455" s="445">
        <f t="shared" si="34"/>
        <v>23177.649999999998</v>
      </c>
      <c r="S455" s="445">
        <f t="shared" si="35"/>
        <v>19983.7</v>
      </c>
    </row>
    <row r="456" spans="1:19" ht="12.75">
      <c r="A456" s="421" t="s">
        <v>110</v>
      </c>
      <c r="B456" s="9">
        <v>5</v>
      </c>
      <c r="C456" s="445">
        <v>35.37</v>
      </c>
      <c r="D456" s="445">
        <v>30.95</v>
      </c>
      <c r="E456" s="445">
        <v>42.02</v>
      </c>
      <c r="F456" s="445">
        <v>47.56</v>
      </c>
      <c r="G456" s="445">
        <v>46.15</v>
      </c>
      <c r="H456" s="445">
        <v>48.58</v>
      </c>
      <c r="I456" s="445">
        <v>42.02</v>
      </c>
      <c r="K456" s="421" t="s">
        <v>110</v>
      </c>
      <c r="L456" s="9">
        <v>5</v>
      </c>
      <c r="M456" s="445">
        <f t="shared" si="34"/>
        <v>18461.91</v>
      </c>
      <c r="N456" s="445">
        <f t="shared" si="34"/>
        <v>16155.84</v>
      </c>
      <c r="O456" s="445">
        <f t="shared" si="34"/>
        <v>21732.940000000002</v>
      </c>
      <c r="P456" s="445">
        <f t="shared" si="34"/>
        <v>24597.97</v>
      </c>
      <c r="Q456" s="445">
        <f t="shared" si="34"/>
        <v>23867.329999999998</v>
      </c>
      <c r="R456" s="445">
        <f t="shared" si="34"/>
        <v>25357.77</v>
      </c>
      <c r="S456" s="445">
        <f t="shared" si="35"/>
        <v>21732.940000000002</v>
      </c>
    </row>
    <row r="457" spans="1:19" ht="12.75">
      <c r="A457" s="421" t="s">
        <v>111</v>
      </c>
      <c r="B457" s="422">
        <v>6</v>
      </c>
      <c r="C457" s="445">
        <v>37.67</v>
      </c>
      <c r="D457" s="445">
        <v>32.69</v>
      </c>
      <c r="E457" s="445">
        <v>46.92</v>
      </c>
      <c r="F457" s="445">
        <v>52.94</v>
      </c>
      <c r="G457" s="445">
        <v>49.96</v>
      </c>
      <c r="H457" s="445">
        <v>53.05</v>
      </c>
      <c r="I457" s="445">
        <v>45.3</v>
      </c>
      <c r="K457" s="421" t="s">
        <v>111</v>
      </c>
      <c r="L457" s="422">
        <v>6</v>
      </c>
      <c r="M457" s="445">
        <f t="shared" si="34"/>
        <v>19659.600000000002</v>
      </c>
      <c r="N457" s="445">
        <f t="shared" si="34"/>
        <v>17060.37</v>
      </c>
      <c r="O457" s="445">
        <f t="shared" si="34"/>
        <v>24264.39</v>
      </c>
      <c r="P457" s="445">
        <f t="shared" si="34"/>
        <v>27380.39</v>
      </c>
      <c r="Q457" s="445">
        <f t="shared" si="34"/>
        <v>25837.71</v>
      </c>
      <c r="R457" s="445">
        <f t="shared" si="34"/>
        <v>27690.1</v>
      </c>
      <c r="S457" s="445">
        <f t="shared" si="35"/>
        <v>23430.62</v>
      </c>
    </row>
    <row r="458" spans="1:19" ht="12.75">
      <c r="A458" s="421" t="s">
        <v>112</v>
      </c>
      <c r="B458" s="9">
        <v>7</v>
      </c>
      <c r="C458" s="445">
        <v>39.3</v>
      </c>
      <c r="D458" s="445">
        <v>33.99</v>
      </c>
      <c r="E458" s="445">
        <v>50.13</v>
      </c>
      <c r="F458" s="445">
        <v>56.47</v>
      </c>
      <c r="G458" s="445">
        <v>53.7</v>
      </c>
      <c r="H458" s="445">
        <v>57.64</v>
      </c>
      <c r="I458" s="445">
        <v>48.54</v>
      </c>
      <c r="K458" s="421" t="s">
        <v>112</v>
      </c>
      <c r="L458" s="9">
        <v>7</v>
      </c>
      <c r="M458" s="445">
        <f t="shared" si="34"/>
        <v>20512.359999999997</v>
      </c>
      <c r="N458" s="445">
        <f t="shared" si="34"/>
        <v>17742.47</v>
      </c>
      <c r="O458" s="445">
        <f t="shared" si="34"/>
        <v>25925.34</v>
      </c>
      <c r="P458" s="445">
        <f t="shared" si="34"/>
        <v>29203.47</v>
      </c>
      <c r="Q458" s="445">
        <f t="shared" si="34"/>
        <v>27770.690000000002</v>
      </c>
      <c r="R458" s="445">
        <f t="shared" si="34"/>
        <v>30086.46</v>
      </c>
      <c r="S458" s="445">
        <f t="shared" si="35"/>
        <v>25105.73</v>
      </c>
    </row>
    <row r="459" spans="1:19" ht="12.75">
      <c r="A459" s="421" t="s">
        <v>30</v>
      </c>
      <c r="B459" s="422">
        <v>8</v>
      </c>
      <c r="C459" s="445">
        <v>40.55</v>
      </c>
      <c r="D459" s="445">
        <v>34.91</v>
      </c>
      <c r="E459" s="445">
        <v>52.57</v>
      </c>
      <c r="F459" s="445">
        <v>59.28</v>
      </c>
      <c r="G459" s="445">
        <v>56.47</v>
      </c>
      <c r="H459" s="445">
        <v>62.11</v>
      </c>
      <c r="I459" s="445">
        <v>50.95</v>
      </c>
      <c r="K459" s="421" t="s">
        <v>30</v>
      </c>
      <c r="L459" s="422">
        <v>8</v>
      </c>
      <c r="M459" s="445">
        <f aca="true" t="shared" si="36" ref="M459:R459">C439+(C459*12)</f>
        <v>21165.949999999997</v>
      </c>
      <c r="N459" s="445">
        <f t="shared" si="36"/>
        <v>18220.69</v>
      </c>
      <c r="O459" s="445">
        <f t="shared" si="36"/>
        <v>27187.21</v>
      </c>
      <c r="P459" s="445">
        <f t="shared" si="36"/>
        <v>30656.65</v>
      </c>
      <c r="Q459" s="445">
        <f t="shared" si="36"/>
        <v>29203.47</v>
      </c>
      <c r="R459" s="445">
        <f t="shared" si="36"/>
        <v>32417.59</v>
      </c>
      <c r="S459" s="445">
        <f t="shared" si="35"/>
        <v>26352.91</v>
      </c>
    </row>
    <row r="461" spans="1:19" ht="15">
      <c r="A461" s="444" t="s">
        <v>49</v>
      </c>
      <c r="B461" s="34"/>
      <c r="C461" s="34"/>
      <c r="D461" s="34"/>
      <c r="E461" s="34"/>
      <c r="F461" s="34"/>
      <c r="G461" s="34"/>
      <c r="H461" s="34"/>
      <c r="I461" s="34"/>
      <c r="K461" s="444" t="s">
        <v>69</v>
      </c>
      <c r="L461" s="34"/>
      <c r="M461" s="34"/>
      <c r="N461" s="34"/>
      <c r="O461" s="34"/>
      <c r="P461" s="34"/>
      <c r="Q461" s="34"/>
      <c r="R461" s="34"/>
      <c r="S461" s="34"/>
    </row>
    <row r="462" spans="1:19" ht="12.75">
      <c r="A462" s="420" t="s">
        <v>28</v>
      </c>
      <c r="B462" s="9">
        <v>1</v>
      </c>
      <c r="C462" s="145" t="s">
        <v>96</v>
      </c>
      <c r="D462" s="145" t="s">
        <v>125</v>
      </c>
      <c r="E462" s="145" t="s">
        <v>128</v>
      </c>
      <c r="F462" s="145" t="s">
        <v>130</v>
      </c>
      <c r="G462" s="145" t="s">
        <v>127</v>
      </c>
      <c r="H462" s="145" t="s">
        <v>126</v>
      </c>
      <c r="I462" s="145" t="s">
        <v>129</v>
      </c>
      <c r="K462" s="420" t="s">
        <v>28</v>
      </c>
      <c r="L462" s="9">
        <v>1</v>
      </c>
      <c r="M462" s="145" t="s">
        <v>96</v>
      </c>
      <c r="N462" s="145" t="s">
        <v>125</v>
      </c>
      <c r="O462" s="145" t="s">
        <v>128</v>
      </c>
      <c r="P462" s="145" t="s">
        <v>130</v>
      </c>
      <c r="Q462" s="145" t="s">
        <v>127</v>
      </c>
      <c r="R462" s="145" t="s">
        <v>126</v>
      </c>
      <c r="S462" s="145" t="s">
        <v>129</v>
      </c>
    </row>
    <row r="463" spans="1:19" ht="12.75">
      <c r="A463" s="421" t="s">
        <v>29</v>
      </c>
      <c r="B463" s="422">
        <v>2</v>
      </c>
      <c r="C463" s="423">
        <v>65.27</v>
      </c>
      <c r="D463" s="423">
        <v>59.76</v>
      </c>
      <c r="E463" s="423">
        <v>75.4</v>
      </c>
      <c r="F463" s="423">
        <v>82.16</v>
      </c>
      <c r="G463" s="423">
        <v>82.16</v>
      </c>
      <c r="H463" s="423">
        <v>86.29</v>
      </c>
      <c r="I463" s="423">
        <v>75.4</v>
      </c>
      <c r="K463" s="421" t="s">
        <v>29</v>
      </c>
      <c r="L463" s="422">
        <v>2</v>
      </c>
      <c r="M463" s="423">
        <v>16085.62</v>
      </c>
      <c r="N463" s="423">
        <v>14359.02</v>
      </c>
      <c r="O463" s="423">
        <v>18490.63</v>
      </c>
      <c r="P463" s="423">
        <v>20068.42</v>
      </c>
      <c r="Q463" s="423">
        <v>20068.42</v>
      </c>
      <c r="R463" s="423">
        <v>21266.1</v>
      </c>
      <c r="S463" s="423">
        <v>18490.63</v>
      </c>
    </row>
    <row r="464" spans="1:19" ht="12.75">
      <c r="A464" s="421" t="s">
        <v>108</v>
      </c>
      <c r="B464" s="9">
        <v>3</v>
      </c>
      <c r="C464" s="423">
        <v>66.74</v>
      </c>
      <c r="D464" s="423">
        <v>60.86</v>
      </c>
      <c r="E464" s="423">
        <v>77.74</v>
      </c>
      <c r="F464" s="423">
        <v>86.81</v>
      </c>
      <c r="G464" s="423">
        <v>84.42</v>
      </c>
      <c r="H464" s="423">
        <v>88.8</v>
      </c>
      <c r="I464" s="423">
        <v>77.74</v>
      </c>
      <c r="K464" s="421" t="s">
        <v>108</v>
      </c>
      <c r="L464" s="9">
        <v>3</v>
      </c>
      <c r="M464" s="423">
        <v>16447.16</v>
      </c>
      <c r="N464" s="423">
        <v>14637.86</v>
      </c>
      <c r="O464" s="423">
        <v>18990.1</v>
      </c>
      <c r="P464" s="423">
        <v>21205.31</v>
      </c>
      <c r="Q464" s="423">
        <v>20622.41</v>
      </c>
      <c r="R464" s="423">
        <v>21885.19</v>
      </c>
      <c r="S464" s="423">
        <v>18990.1</v>
      </c>
    </row>
    <row r="465" spans="1:19" ht="12.75">
      <c r="A465" s="421" t="s">
        <v>109</v>
      </c>
      <c r="B465" s="422">
        <v>4</v>
      </c>
      <c r="C465" s="423">
        <v>71.97</v>
      </c>
      <c r="D465" s="423">
        <v>64.93</v>
      </c>
      <c r="E465" s="423">
        <v>84.04</v>
      </c>
      <c r="F465" s="423">
        <v>94.26</v>
      </c>
      <c r="G465" s="423">
        <v>91.84</v>
      </c>
      <c r="H465" s="423">
        <v>96.59</v>
      </c>
      <c r="I465" s="423">
        <v>84.04</v>
      </c>
      <c r="K465" s="421" t="s">
        <v>109</v>
      </c>
      <c r="L465" s="422">
        <v>4</v>
      </c>
      <c r="M465" s="423">
        <v>17738.02</v>
      </c>
      <c r="N465" s="423">
        <v>15648.91</v>
      </c>
      <c r="O465" s="423">
        <v>20528.5</v>
      </c>
      <c r="P465" s="423">
        <v>23024.51</v>
      </c>
      <c r="Q465" s="423">
        <v>22433.27</v>
      </c>
      <c r="R465" s="423">
        <v>23803.81</v>
      </c>
      <c r="S465" s="423">
        <v>20528.5</v>
      </c>
    </row>
    <row r="466" spans="1:19" ht="12.75">
      <c r="A466" s="421" t="s">
        <v>110</v>
      </c>
      <c r="B466" s="9">
        <v>5</v>
      </c>
      <c r="C466" s="423">
        <v>76.93</v>
      </c>
      <c r="D466" s="423">
        <v>68.76</v>
      </c>
      <c r="E466" s="423">
        <v>91.4</v>
      </c>
      <c r="F466" s="423">
        <v>103.44</v>
      </c>
      <c r="G466" s="423">
        <v>100.67</v>
      </c>
      <c r="H466" s="423">
        <v>105.67</v>
      </c>
      <c r="I466" s="423">
        <v>91.4</v>
      </c>
      <c r="K466" s="421" t="s">
        <v>110</v>
      </c>
      <c r="L466" s="9">
        <v>5</v>
      </c>
      <c r="M466" s="423">
        <v>18960.63</v>
      </c>
      <c r="N466" s="423">
        <v>16592.28</v>
      </c>
      <c r="O466" s="423">
        <v>22325.5</v>
      </c>
      <c r="P466" s="423">
        <v>25268.53</v>
      </c>
      <c r="Q466" s="423">
        <v>24517.97</v>
      </c>
      <c r="R466" s="423">
        <v>26042.85</v>
      </c>
      <c r="S466" s="423">
        <v>22325.5</v>
      </c>
    </row>
    <row r="467" spans="1:19" ht="12.75">
      <c r="A467" s="421" t="s">
        <v>111</v>
      </c>
      <c r="B467" s="422">
        <v>6</v>
      </c>
      <c r="C467" s="423">
        <v>81.92</v>
      </c>
      <c r="D467" s="423">
        <v>72.65</v>
      </c>
      <c r="E467" s="423">
        <v>102.04</v>
      </c>
      <c r="F467" s="423">
        <v>115.15</v>
      </c>
      <c r="G467" s="423">
        <v>108.66</v>
      </c>
      <c r="H467" s="423">
        <v>115.39</v>
      </c>
      <c r="I467" s="423">
        <v>98.54</v>
      </c>
      <c r="K467" s="421" t="s">
        <v>111</v>
      </c>
      <c r="L467" s="422">
        <v>6</v>
      </c>
      <c r="M467" s="423">
        <v>20190.6</v>
      </c>
      <c r="N467" s="423">
        <v>17521.17</v>
      </c>
      <c r="O467" s="423">
        <v>24925.83</v>
      </c>
      <c r="P467" s="423">
        <v>28126.91</v>
      </c>
      <c r="Q467" s="423">
        <v>26542.11</v>
      </c>
      <c r="R467" s="423">
        <v>28438.18</v>
      </c>
      <c r="S467" s="423">
        <v>24069.5</v>
      </c>
    </row>
    <row r="468" spans="1:19" ht="12.75">
      <c r="A468" s="421" t="s">
        <v>112</v>
      </c>
      <c r="B468" s="9">
        <v>7</v>
      </c>
      <c r="C468" s="423">
        <v>85.48</v>
      </c>
      <c r="D468" s="423">
        <v>75.4</v>
      </c>
      <c r="E468" s="423">
        <v>109.03</v>
      </c>
      <c r="F468" s="423">
        <v>122.81</v>
      </c>
      <c r="G468" s="423">
        <v>116.79</v>
      </c>
      <c r="H468" s="423">
        <v>125.38</v>
      </c>
      <c r="I468" s="423">
        <v>105.58</v>
      </c>
      <c r="K468" s="421" t="s">
        <v>112</v>
      </c>
      <c r="L468" s="9">
        <v>7</v>
      </c>
      <c r="M468" s="423">
        <v>21066.52</v>
      </c>
      <c r="N468" s="423">
        <v>18221.87</v>
      </c>
      <c r="O468" s="423">
        <v>26632.14</v>
      </c>
      <c r="P468" s="423">
        <v>29999.53</v>
      </c>
      <c r="Q468" s="423">
        <v>28527.77</v>
      </c>
      <c r="R468" s="423">
        <v>30899.34</v>
      </c>
      <c r="S468" s="423">
        <v>25790.21</v>
      </c>
    </row>
    <row r="469" spans="1:19" ht="12.75">
      <c r="A469" s="421" t="s">
        <v>30</v>
      </c>
      <c r="B469" s="422">
        <v>8</v>
      </c>
      <c r="C469" s="423">
        <v>88.2</v>
      </c>
      <c r="D469" s="423">
        <v>77.45</v>
      </c>
      <c r="E469" s="423">
        <v>114.33</v>
      </c>
      <c r="F469" s="423">
        <v>128.92</v>
      </c>
      <c r="G469" s="423">
        <v>122.81</v>
      </c>
      <c r="H469" s="423">
        <v>135.09</v>
      </c>
      <c r="I469" s="423">
        <v>110.83</v>
      </c>
      <c r="K469" s="421" t="s">
        <v>30</v>
      </c>
      <c r="L469" s="422">
        <v>8</v>
      </c>
      <c r="M469" s="423">
        <v>21737.75</v>
      </c>
      <c r="N469" s="423">
        <v>18712.93</v>
      </c>
      <c r="O469" s="423">
        <v>27928.33</v>
      </c>
      <c r="P469" s="423">
        <v>31492.33</v>
      </c>
      <c r="Q469" s="423">
        <v>29999.55</v>
      </c>
      <c r="R469" s="423">
        <v>33293.35</v>
      </c>
      <c r="S469" s="423">
        <v>27071.47</v>
      </c>
    </row>
    <row r="471" spans="1:3" ht="12.75">
      <c r="A471" s="490" t="s">
        <v>298</v>
      </c>
      <c r="C471" s="37" t="s">
        <v>307</v>
      </c>
    </row>
    <row r="472" spans="1:3" ht="12.75">
      <c r="A472" s="565" t="s">
        <v>353</v>
      </c>
      <c r="B472" s="498">
        <v>1</v>
      </c>
      <c r="C472" s="492" t="s">
        <v>126</v>
      </c>
    </row>
    <row r="473" spans="1:3" ht="12.75">
      <c r="A473" s="493" t="s">
        <v>29</v>
      </c>
      <c r="B473" s="498">
        <v>2</v>
      </c>
      <c r="C473" s="494">
        <f>R463+(9.04*12)</f>
        <v>21374.579999999998</v>
      </c>
    </row>
    <row r="474" spans="1:3" ht="12.75">
      <c r="A474" s="493" t="s">
        <v>108</v>
      </c>
      <c r="B474" s="498">
        <v>3</v>
      </c>
      <c r="C474" s="494">
        <f aca="true" t="shared" si="37" ref="C474:C479">R464+(9.04*12)</f>
        <v>21993.67</v>
      </c>
    </row>
    <row r="475" spans="1:3" ht="12.75">
      <c r="A475" s="493" t="s">
        <v>109</v>
      </c>
      <c r="B475" s="498">
        <v>4</v>
      </c>
      <c r="C475" s="494">
        <f t="shared" si="37"/>
        <v>23912.29</v>
      </c>
    </row>
    <row r="476" spans="1:4" ht="12.75">
      <c r="A476" s="493" t="s">
        <v>110</v>
      </c>
      <c r="B476" s="498">
        <v>5</v>
      </c>
      <c r="C476" s="494">
        <f t="shared" si="37"/>
        <v>26151.329999999998</v>
      </c>
      <c r="D476" s="566">
        <v>9.04</v>
      </c>
    </row>
    <row r="477" spans="1:4" ht="12.75">
      <c r="A477" s="493" t="s">
        <v>111</v>
      </c>
      <c r="B477" s="498">
        <v>6</v>
      </c>
      <c r="C477" s="494">
        <f t="shared" si="37"/>
        <v>28546.66</v>
      </c>
      <c r="D477" s="6"/>
    </row>
    <row r="478" spans="1:4" ht="12.75">
      <c r="A478" s="493" t="s">
        <v>112</v>
      </c>
      <c r="B478" s="498">
        <v>7</v>
      </c>
      <c r="C478" s="494">
        <f t="shared" si="37"/>
        <v>31007.82</v>
      </c>
      <c r="D478" s="6"/>
    </row>
    <row r="479" spans="1:4" ht="12.75">
      <c r="A479" s="493" t="s">
        <v>30</v>
      </c>
      <c r="B479" s="498">
        <v>8</v>
      </c>
      <c r="C479" s="494">
        <f t="shared" si="37"/>
        <v>33401.83</v>
      </c>
      <c r="D479" s="6"/>
    </row>
    <row r="480" ht="12.75">
      <c r="D480" s="6"/>
    </row>
    <row r="481" spans="1:4" ht="12.75">
      <c r="A481" s="497" t="s">
        <v>298</v>
      </c>
      <c r="C481" s="37" t="s">
        <v>308</v>
      </c>
      <c r="D481" s="6"/>
    </row>
    <row r="482" spans="1:4" ht="12.75">
      <c r="A482" s="565" t="s">
        <v>353</v>
      </c>
      <c r="B482" s="498">
        <v>1</v>
      </c>
      <c r="C482" s="492" t="s">
        <v>126</v>
      </c>
      <c r="D482" s="6"/>
    </row>
    <row r="483" spans="1:4" ht="12.75">
      <c r="A483" s="493" t="s">
        <v>29</v>
      </c>
      <c r="B483" s="498">
        <v>2</v>
      </c>
      <c r="C483" s="494">
        <f>R463+(15.06*12)</f>
        <v>21446.82</v>
      </c>
      <c r="D483" s="6"/>
    </row>
    <row r="484" spans="1:4" ht="12.75">
      <c r="A484" s="493" t="s">
        <v>108</v>
      </c>
      <c r="B484" s="498">
        <v>3</v>
      </c>
      <c r="C484" s="494">
        <f aca="true" t="shared" si="38" ref="C484:C489">R464+(15.06*12)</f>
        <v>22065.91</v>
      </c>
      <c r="D484" s="6"/>
    </row>
    <row r="485" spans="1:4" ht="12.75">
      <c r="A485" s="493" t="s">
        <v>109</v>
      </c>
      <c r="B485" s="498">
        <v>4</v>
      </c>
      <c r="C485" s="494">
        <f t="shared" si="38"/>
        <v>23984.530000000002</v>
      </c>
      <c r="D485" s="6"/>
    </row>
    <row r="486" spans="1:4" ht="12.75">
      <c r="A486" s="493" t="s">
        <v>110</v>
      </c>
      <c r="B486" s="498">
        <v>5</v>
      </c>
      <c r="C486" s="494">
        <f t="shared" si="38"/>
        <v>26223.57</v>
      </c>
      <c r="D486" s="566">
        <v>15.06</v>
      </c>
    </row>
    <row r="487" spans="1:3" ht="12.75">
      <c r="A487" s="493" t="s">
        <v>111</v>
      </c>
      <c r="B487" s="498">
        <v>6</v>
      </c>
      <c r="C487" s="494">
        <f t="shared" si="38"/>
        <v>28618.9</v>
      </c>
    </row>
    <row r="488" spans="1:3" ht="12.75">
      <c r="A488" s="493" t="s">
        <v>112</v>
      </c>
      <c r="B488" s="498">
        <v>7</v>
      </c>
      <c r="C488" s="494">
        <f t="shared" si="38"/>
        <v>31080.06</v>
      </c>
    </row>
    <row r="489" spans="1:3" ht="12.75">
      <c r="A489" s="493" t="s">
        <v>30</v>
      </c>
      <c r="B489" s="498">
        <v>8</v>
      </c>
      <c r="C489" s="494">
        <f t="shared" si="38"/>
        <v>33474.07</v>
      </c>
    </row>
    <row r="491" spans="1:8" ht="12.75">
      <c r="A491" s="497" t="s">
        <v>306</v>
      </c>
      <c r="F491" s="497" t="s">
        <v>306</v>
      </c>
      <c r="H491" s="37" t="s">
        <v>300</v>
      </c>
    </row>
    <row r="492" spans="1:9" ht="12.75">
      <c r="A492" s="491" t="s">
        <v>299</v>
      </c>
      <c r="B492" s="498">
        <v>1</v>
      </c>
      <c r="C492" s="492" t="s">
        <v>126</v>
      </c>
      <c r="D492" s="501" t="s">
        <v>300</v>
      </c>
      <c r="F492" s="565" t="s">
        <v>353</v>
      </c>
      <c r="G492" s="498">
        <v>1</v>
      </c>
      <c r="H492" s="492" t="s">
        <v>126</v>
      </c>
      <c r="I492" s="165"/>
    </row>
    <row r="493" spans="1:9" ht="12.75">
      <c r="A493" s="493" t="s">
        <v>29</v>
      </c>
      <c r="B493" s="498">
        <v>2</v>
      </c>
      <c r="C493" s="494">
        <v>67.25</v>
      </c>
      <c r="D493" s="496">
        <f aca="true" t="shared" si="39" ref="D493:D499">R463+(C493*12)</f>
        <v>22073.1</v>
      </c>
      <c r="F493" s="493" t="s">
        <v>29</v>
      </c>
      <c r="G493" s="498">
        <v>2</v>
      </c>
      <c r="H493" s="494">
        <v>22073.1</v>
      </c>
      <c r="I493" s="495"/>
    </row>
    <row r="494" spans="1:9" ht="12.75">
      <c r="A494" s="493" t="s">
        <v>108</v>
      </c>
      <c r="B494" s="498">
        <v>3</v>
      </c>
      <c r="C494" s="494">
        <v>69.21</v>
      </c>
      <c r="D494" s="496">
        <f t="shared" si="39"/>
        <v>22715.71</v>
      </c>
      <c r="F494" s="493" t="s">
        <v>108</v>
      </c>
      <c r="G494" s="498">
        <v>3</v>
      </c>
      <c r="H494" s="494">
        <v>22715.71</v>
      </c>
      <c r="I494" s="495"/>
    </row>
    <row r="495" spans="1:9" ht="12.75">
      <c r="A495" s="493" t="s">
        <v>109</v>
      </c>
      <c r="B495" s="498">
        <v>4</v>
      </c>
      <c r="C495" s="494">
        <v>75.28</v>
      </c>
      <c r="D495" s="496">
        <f t="shared" si="39"/>
        <v>24707.170000000002</v>
      </c>
      <c r="F495" s="493" t="s">
        <v>109</v>
      </c>
      <c r="G495" s="498">
        <v>4</v>
      </c>
      <c r="H495" s="494">
        <v>24707.170000000002</v>
      </c>
      <c r="I495" s="495"/>
    </row>
    <row r="496" spans="1:9" ht="12.75">
      <c r="A496" s="493" t="s">
        <v>110</v>
      </c>
      <c r="B496" s="498">
        <v>5</v>
      </c>
      <c r="C496" s="494">
        <v>82.36</v>
      </c>
      <c r="D496" s="496">
        <f t="shared" si="39"/>
        <v>27031.17</v>
      </c>
      <c r="F496" s="493" t="s">
        <v>110</v>
      </c>
      <c r="G496" s="498">
        <v>5</v>
      </c>
      <c r="H496" s="494">
        <v>27031.17</v>
      </c>
      <c r="I496" s="495"/>
    </row>
    <row r="497" spans="1:9" ht="12.75">
      <c r="A497" s="493" t="s">
        <v>111</v>
      </c>
      <c r="B497" s="498">
        <v>6</v>
      </c>
      <c r="C497" s="494">
        <v>89.93</v>
      </c>
      <c r="D497" s="496">
        <f t="shared" si="39"/>
        <v>29517.34</v>
      </c>
      <c r="F497" s="493" t="s">
        <v>111</v>
      </c>
      <c r="G497" s="498">
        <v>6</v>
      </c>
      <c r="H497" s="494">
        <v>29517.34</v>
      </c>
      <c r="I497" s="495"/>
    </row>
    <row r="498" spans="1:9" ht="12.75">
      <c r="A498" s="493" t="s">
        <v>112</v>
      </c>
      <c r="B498" s="498">
        <v>7</v>
      </c>
      <c r="C498" s="494">
        <v>97.72</v>
      </c>
      <c r="D498" s="496">
        <f t="shared" si="39"/>
        <v>32071.98</v>
      </c>
      <c r="E498" s="495"/>
      <c r="F498" s="493" t="s">
        <v>112</v>
      </c>
      <c r="G498" s="498">
        <v>7</v>
      </c>
      <c r="H498" s="494">
        <v>32071.98</v>
      </c>
      <c r="I498" s="495"/>
    </row>
    <row r="499" spans="1:9" ht="12.75">
      <c r="A499" s="493" t="s">
        <v>30</v>
      </c>
      <c r="B499" s="498">
        <v>8</v>
      </c>
      <c r="C499" s="494">
        <v>105.29</v>
      </c>
      <c r="D499" s="496">
        <f t="shared" si="39"/>
        <v>34556.83</v>
      </c>
      <c r="F499" s="493" t="s">
        <v>30</v>
      </c>
      <c r="G499" s="498">
        <v>8</v>
      </c>
      <c r="H499" s="494">
        <v>34556.83</v>
      </c>
      <c r="I499" s="495"/>
    </row>
    <row r="501" spans="1:3" ht="12.75">
      <c r="A501" s="497" t="s">
        <v>304</v>
      </c>
      <c r="C501" s="37" t="s">
        <v>303</v>
      </c>
    </row>
    <row r="502" spans="1:4" ht="12.75">
      <c r="A502" s="491" t="s">
        <v>299</v>
      </c>
      <c r="B502" s="498">
        <v>1</v>
      </c>
      <c r="C502" s="492" t="s">
        <v>126</v>
      </c>
      <c r="D502" s="501" t="s">
        <v>300</v>
      </c>
    </row>
    <row r="503" spans="1:4" ht="12.75">
      <c r="A503" s="493" t="s">
        <v>301</v>
      </c>
      <c r="B503" s="498">
        <v>2</v>
      </c>
      <c r="C503" s="494">
        <v>8.28</v>
      </c>
      <c r="D503" s="496">
        <f>D493+(C503*12)</f>
        <v>22172.46</v>
      </c>
    </row>
    <row r="504" spans="1:4" ht="12.75">
      <c r="A504" s="493" t="s">
        <v>302</v>
      </c>
      <c r="B504" s="498">
        <v>3</v>
      </c>
      <c r="C504" s="494">
        <v>8.28</v>
      </c>
      <c r="D504" s="496">
        <f>D503</f>
        <v>22172.46</v>
      </c>
    </row>
    <row r="505" spans="1:4" ht="12.75">
      <c r="A505" s="493" t="s">
        <v>109</v>
      </c>
      <c r="B505" s="498">
        <v>4</v>
      </c>
      <c r="C505" s="494">
        <v>8.28</v>
      </c>
      <c r="D505" s="496">
        <f>D495+(C505*12)</f>
        <v>24806.530000000002</v>
      </c>
    </row>
    <row r="506" spans="1:4" ht="12.75">
      <c r="A506" s="493" t="s">
        <v>110</v>
      </c>
      <c r="B506" s="498">
        <v>5</v>
      </c>
      <c r="C506" s="494">
        <v>8.28</v>
      </c>
      <c r="D506" s="496">
        <f>D496+(C506*12)</f>
        <v>27130.53</v>
      </c>
    </row>
    <row r="507" spans="1:4" ht="12.75">
      <c r="A507" s="493" t="s">
        <v>111</v>
      </c>
      <c r="B507" s="498">
        <v>6</v>
      </c>
      <c r="C507" s="494">
        <v>8.28</v>
      </c>
      <c r="D507" s="496">
        <f>D497+(C507*12)</f>
        <v>29616.7</v>
      </c>
    </row>
    <row r="508" spans="1:4" ht="12.75">
      <c r="A508" s="493" t="s">
        <v>112</v>
      </c>
      <c r="B508" s="498">
        <v>7</v>
      </c>
      <c r="C508" s="494">
        <v>8.28</v>
      </c>
      <c r="D508" s="496">
        <f>D498+(C508*12)</f>
        <v>32171.34</v>
      </c>
    </row>
    <row r="509" spans="1:4" ht="12.75">
      <c r="A509" s="493" t="s">
        <v>30</v>
      </c>
      <c r="B509" s="498">
        <v>8</v>
      </c>
      <c r="C509" s="494">
        <v>8.28</v>
      </c>
      <c r="D509" s="496">
        <f>D499+(C509*12)</f>
        <v>34656.19</v>
      </c>
    </row>
    <row r="510" ht="12.75">
      <c r="B510" s="121"/>
    </row>
    <row r="511" spans="1:3" ht="12.75">
      <c r="A511" s="497" t="s">
        <v>305</v>
      </c>
      <c r="B511" s="121"/>
      <c r="C511" s="37" t="s">
        <v>303</v>
      </c>
    </row>
    <row r="512" spans="1:4" ht="12.75">
      <c r="A512" s="491" t="s">
        <v>299</v>
      </c>
      <c r="B512" s="498">
        <v>1</v>
      </c>
      <c r="C512" s="492" t="s">
        <v>126</v>
      </c>
      <c r="D512" s="501" t="s">
        <v>300</v>
      </c>
    </row>
    <row r="513" spans="1:4" ht="12.75">
      <c r="A513" s="493" t="s">
        <v>301</v>
      </c>
      <c r="B513" s="498">
        <v>2</v>
      </c>
      <c r="C513" s="494">
        <v>13.8</v>
      </c>
      <c r="D513" s="496">
        <f>D493+(C513*12)</f>
        <v>22238.699999999997</v>
      </c>
    </row>
    <row r="514" spans="1:4" ht="12.75">
      <c r="A514" s="493" t="s">
        <v>302</v>
      </c>
      <c r="B514" s="498">
        <v>3</v>
      </c>
      <c r="C514" s="494">
        <v>13.8</v>
      </c>
      <c r="D514" s="496">
        <f aca="true" t="shared" si="40" ref="D514:D519">D494+(C514*12)</f>
        <v>22881.309999999998</v>
      </c>
    </row>
    <row r="515" spans="1:4" ht="12.75">
      <c r="A515" s="493" t="s">
        <v>109</v>
      </c>
      <c r="B515" s="498">
        <v>4</v>
      </c>
      <c r="C515" s="494">
        <v>13.8</v>
      </c>
      <c r="D515" s="496">
        <f t="shared" si="40"/>
        <v>24872.77</v>
      </c>
    </row>
    <row r="516" spans="1:5" ht="12.75">
      <c r="A516" s="493" t="s">
        <v>110</v>
      </c>
      <c r="B516" s="498">
        <v>5</v>
      </c>
      <c r="C516" s="494">
        <v>13.8</v>
      </c>
      <c r="D516" s="496">
        <f t="shared" si="40"/>
        <v>27196.769999999997</v>
      </c>
      <c r="E516" s="495"/>
    </row>
    <row r="517" spans="1:4" ht="12.75">
      <c r="A517" s="493" t="s">
        <v>111</v>
      </c>
      <c r="B517" s="498">
        <v>6</v>
      </c>
      <c r="C517" s="494">
        <v>13.8</v>
      </c>
      <c r="D517" s="496">
        <f t="shared" si="40"/>
        <v>29682.94</v>
      </c>
    </row>
    <row r="518" spans="1:4" ht="12.75">
      <c r="A518" s="493" t="s">
        <v>112</v>
      </c>
      <c r="B518" s="498">
        <v>7</v>
      </c>
      <c r="C518" s="494">
        <v>13.8</v>
      </c>
      <c r="D518" s="496">
        <f t="shared" si="40"/>
        <v>32237.579999999998</v>
      </c>
    </row>
    <row r="519" spans="1:4" ht="12.75">
      <c r="A519" s="493" t="s">
        <v>30</v>
      </c>
      <c r="B519" s="498">
        <v>8</v>
      </c>
      <c r="C519" s="494">
        <v>13.8</v>
      </c>
      <c r="D519" s="496">
        <f t="shared" si="40"/>
        <v>34722.43</v>
      </c>
    </row>
  </sheetData>
  <sheetProtection/>
  <mergeCells count="12">
    <mergeCell ref="G372:G375"/>
    <mergeCell ref="G376:G377"/>
    <mergeCell ref="G378:G379"/>
    <mergeCell ref="G402:G405"/>
    <mergeCell ref="G392:G395"/>
    <mergeCell ref="G382:G385"/>
    <mergeCell ref="G386:G387"/>
    <mergeCell ref="G388:G389"/>
    <mergeCell ref="G406:G407"/>
    <mergeCell ref="G408:G409"/>
    <mergeCell ref="G396:G397"/>
    <mergeCell ref="G398:G399"/>
  </mergeCells>
  <conditionalFormatting sqref="F136:F142">
    <cfRule type="cellIs" priority="1" dxfId="39" operator="equal" stopIfTrue="1">
      <formula>$J$27</formula>
    </cfRule>
  </conditionalFormatting>
  <conditionalFormatting sqref="F147:F153">
    <cfRule type="cellIs" priority="2" dxfId="39" operator="equal" stopIfTrue="1">
      <formula>$J$36</formula>
    </cfRule>
  </conditionalFormatting>
  <conditionalFormatting sqref="D201:D207">
    <cfRule type="cellIs" priority="3" dxfId="43" operator="equal" stopIfTrue="1">
      <formula>$C$282</formula>
    </cfRule>
  </conditionalFormatting>
  <conditionalFormatting sqref="F201:F207">
    <cfRule type="cellIs" priority="4" dxfId="43" operator="equal" stopIfTrue="1">
      <formula>$J$218</formula>
    </cfRule>
  </conditionalFormatting>
  <conditionalFormatting sqref="D211:D217">
    <cfRule type="cellIs" priority="5" dxfId="43" operator="equal" stopIfTrue="1">
      <formula>$C$275</formula>
    </cfRule>
  </conditionalFormatting>
  <conditionalFormatting sqref="D264:D270">
    <cfRule type="cellIs" priority="6" dxfId="44" operator="equal" stopIfTrue="1">
      <formula>$C$330</formula>
    </cfRule>
  </conditionalFormatting>
  <conditionalFormatting sqref="C264:C270 C242:I248">
    <cfRule type="cellIs" priority="7" dxfId="44" operator="equal" stopIfTrue="1">
      <formula>$E$330</formula>
    </cfRule>
  </conditionalFormatting>
  <conditionalFormatting sqref="H264:H270">
    <cfRule type="cellIs" priority="8" dxfId="44" operator="equal" stopIfTrue="1">
      <formula>$F$330</formula>
    </cfRule>
  </conditionalFormatting>
  <conditionalFormatting sqref="I264:I270">
    <cfRule type="cellIs" priority="9" dxfId="44" operator="equal" stopIfTrue="1">
      <formula>$G$330</formula>
    </cfRule>
  </conditionalFormatting>
  <conditionalFormatting sqref="E264:E270">
    <cfRule type="cellIs" priority="10" dxfId="44" operator="equal" stopIfTrue="1">
      <formula>$H$330</formula>
    </cfRule>
  </conditionalFormatting>
  <conditionalFormatting sqref="G264:G270">
    <cfRule type="cellIs" priority="11" dxfId="44" operator="equal" stopIfTrue="1">
      <formula>$I$330</formula>
    </cfRule>
  </conditionalFormatting>
  <conditionalFormatting sqref="C168:C174 C191:I197">
    <cfRule type="cellIs" priority="12" dxfId="43" operator="equal" stopIfTrue="1">
      <formula>$C$262</formula>
    </cfRule>
  </conditionalFormatting>
  <conditionalFormatting sqref="D168:D174">
    <cfRule type="cellIs" priority="13" dxfId="43" operator="equal" stopIfTrue="1">
      <formula>$D$263</formula>
    </cfRule>
  </conditionalFormatting>
  <conditionalFormatting sqref="C231:I238 C221:I228">
    <cfRule type="cellIs" priority="14" dxfId="43" operator="equal" stopIfTrue="1">
      <formula>$D$243</formula>
    </cfRule>
  </conditionalFormatting>
  <conditionalFormatting sqref="E168:E174">
    <cfRule type="cellIs" priority="15" dxfId="43" operator="equal" stopIfTrue="1">
      <formula>$E$263</formula>
    </cfRule>
  </conditionalFormatting>
  <conditionalFormatting sqref="F168:F174">
    <cfRule type="cellIs" priority="16" dxfId="43" operator="equal" stopIfTrue="1">
      <formula>$F$263</formula>
    </cfRule>
  </conditionalFormatting>
  <conditionalFormatting sqref="G168:G174">
    <cfRule type="cellIs" priority="17" dxfId="43" operator="equal" stopIfTrue="1">
      <formula>$G$263</formula>
    </cfRule>
  </conditionalFormatting>
  <conditionalFormatting sqref="C201:C207">
    <cfRule type="cellIs" priority="18" dxfId="43" operator="equal" stopIfTrue="1">
      <formula>$H$223</formula>
    </cfRule>
  </conditionalFormatting>
  <conditionalFormatting sqref="H201:H207">
    <cfRule type="cellIs" priority="19" dxfId="43" operator="equal" stopIfTrue="1">
      <formula>$I$223</formula>
    </cfRule>
  </conditionalFormatting>
  <conditionalFormatting sqref="H168:H174">
    <cfRule type="cellIs" priority="20" dxfId="43" operator="equal" stopIfTrue="1">
      <formula>$H$263</formula>
    </cfRule>
  </conditionalFormatting>
  <conditionalFormatting sqref="I168:I174">
    <cfRule type="cellIs" priority="21" dxfId="43" operator="equal" stopIfTrue="1">
      <formula>$I$263</formula>
    </cfRule>
  </conditionalFormatting>
  <conditionalFormatting sqref="D136:D142">
    <cfRule type="cellIs" priority="22" dxfId="39" operator="equal" stopIfTrue="1">
      <formula>$C$283</formula>
    </cfRule>
  </conditionalFormatting>
  <conditionalFormatting sqref="C136:C142">
    <cfRule type="cellIs" priority="23" dxfId="39" operator="equal" stopIfTrue="1">
      <formula>$E$283</formula>
    </cfRule>
  </conditionalFormatting>
  <conditionalFormatting sqref="H136:H142">
    <cfRule type="cellIs" priority="24" dxfId="39" operator="equal" stopIfTrue="1">
      <formula>$F$283</formula>
    </cfRule>
  </conditionalFormatting>
  <conditionalFormatting sqref="E136 E140:E142">
    <cfRule type="cellIs" priority="25" dxfId="39" operator="equal" stopIfTrue="1">
      <formula>$H$283</formula>
    </cfRule>
  </conditionalFormatting>
  <conditionalFormatting sqref="G136:G142">
    <cfRule type="cellIs" priority="26" dxfId="39" operator="equal" stopIfTrue="1">
      <formula>$I$283</formula>
    </cfRule>
  </conditionalFormatting>
  <conditionalFormatting sqref="E137:E139 I136:I142">
    <cfRule type="cellIs" priority="27" dxfId="39" operator="equal" stopIfTrue="1">
      <formula>$G$283</formula>
    </cfRule>
  </conditionalFormatting>
  <conditionalFormatting sqref="D147:D153">
    <cfRule type="cellIs" priority="28" dxfId="39" operator="equal" stopIfTrue="1">
      <formula>$C$303</formula>
    </cfRule>
  </conditionalFormatting>
  <conditionalFormatting sqref="E201:E207">
    <cfRule type="cellIs" priority="29" dxfId="43" operator="equal" stopIfTrue="1">
      <formula>$F$282</formula>
    </cfRule>
  </conditionalFormatting>
  <conditionalFormatting sqref="I201:I207">
    <cfRule type="cellIs" priority="30" dxfId="43" operator="equal" stopIfTrue="1">
      <formula>$G$282</formula>
    </cfRule>
  </conditionalFormatting>
  <conditionalFormatting sqref="G201:G207">
    <cfRule type="cellIs" priority="31" dxfId="43" operator="equal" stopIfTrue="1">
      <formula>$H$282</formula>
    </cfRule>
  </conditionalFormatting>
  <conditionalFormatting sqref="F264:F270">
    <cfRule type="cellIs" priority="32" dxfId="44" operator="equal" stopIfTrue="1">
      <formula>$H$278</formula>
    </cfRule>
  </conditionalFormatting>
  <conditionalFormatting sqref="C211:C217 E211:I217">
    <cfRule type="cellIs" priority="33" dxfId="43" operator="equal" stopIfTrue="1">
      <formula>$F$239</formula>
    </cfRule>
  </conditionalFormatting>
  <conditionalFormatting sqref="H147:H153">
    <cfRule type="cellIs" priority="34" dxfId="39" operator="equal" stopIfTrue="1">
      <formula>$E$303</formula>
    </cfRule>
  </conditionalFormatting>
  <conditionalFormatting sqref="G147:G153 E147 E151:E153">
    <cfRule type="cellIs" priority="35" dxfId="39" operator="equal" stopIfTrue="1">
      <formula>$F$303</formula>
    </cfRule>
  </conditionalFormatting>
  <conditionalFormatting sqref="C147:C153">
    <cfRule type="cellIs" priority="36" dxfId="39" operator="equal" stopIfTrue="1">
      <formula>$I$303</formula>
    </cfRule>
  </conditionalFormatting>
  <conditionalFormatting sqref="I147:I153 E148:E150">
    <cfRule type="cellIs" priority="37" dxfId="39" operator="equal" stopIfTrue="1">
      <formula>$G$303</formula>
    </cfRule>
  </conditionalFormatting>
  <printOptions horizontalCentered="1" verticalCentered="1"/>
  <pageMargins left="0.5905511811023623" right="0.5905511811023623" top="0.1968503937007874" bottom="0.1968503937007874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4"/>
  <sheetViews>
    <sheetView tabSelected="1" zoomScalePageLayoutView="0" workbookViewId="0" topLeftCell="A1">
      <selection activeCell="J9" sqref="J9"/>
    </sheetView>
  </sheetViews>
  <sheetFormatPr defaultColWidth="9.140625" defaultRowHeight="15" customHeight="1"/>
  <cols>
    <col min="1" max="1" width="10.00390625" style="31" customWidth="1"/>
    <col min="2" max="2" width="12.57421875" style="31" customWidth="1"/>
    <col min="3" max="3" width="11.8515625" style="31" customWidth="1"/>
    <col min="4" max="4" width="11.28125" style="31" customWidth="1"/>
    <col min="5" max="5" width="9.8515625" style="31" customWidth="1"/>
    <col min="6" max="6" width="10.7109375" style="31" customWidth="1"/>
    <col min="7" max="7" width="10.140625" style="31" customWidth="1"/>
    <col min="8" max="8" width="9.8515625" style="31" customWidth="1"/>
    <col min="9" max="9" width="9.28125" style="31" customWidth="1"/>
    <col min="10" max="11" width="8.00390625" style="81" customWidth="1"/>
    <col min="12" max="12" width="7.8515625" style="81" bestFit="1" customWidth="1"/>
    <col min="13" max="13" width="6.421875" style="81" customWidth="1"/>
    <col min="14" max="16" width="4.7109375" style="31" customWidth="1"/>
    <col min="17" max="17" width="9.28125" style="31" customWidth="1"/>
    <col min="18" max="16384" width="9.140625" style="31" customWidth="1"/>
  </cols>
  <sheetData>
    <row r="1" spans="1:13" s="73" customFormat="1" ht="15" customHeight="1">
      <c r="A1" s="226" t="s">
        <v>332</v>
      </c>
      <c r="B1" s="72"/>
      <c r="C1" s="72"/>
      <c r="D1" s="72"/>
      <c r="E1" s="72"/>
      <c r="F1" s="72"/>
      <c r="G1" s="72" t="s">
        <v>376</v>
      </c>
      <c r="H1" s="72"/>
      <c r="J1" s="81"/>
      <c r="K1" s="81"/>
      <c r="L1" s="81"/>
      <c r="M1" s="81"/>
    </row>
    <row r="2" spans="3:10" ht="12" customHeight="1" hidden="1">
      <c r="C2" s="59" t="s">
        <v>125</v>
      </c>
      <c r="D2" s="59" t="s">
        <v>96</v>
      </c>
      <c r="E2" s="59" t="s">
        <v>126</v>
      </c>
      <c r="F2" s="59" t="s">
        <v>129</v>
      </c>
      <c r="G2" s="59" t="s">
        <v>128</v>
      </c>
      <c r="H2" s="59" t="s">
        <v>127</v>
      </c>
      <c r="I2" s="59" t="s">
        <v>130</v>
      </c>
      <c r="J2" s="538"/>
    </row>
    <row r="3" spans="1:13" s="76" customFormat="1" ht="25.5" customHeight="1" hidden="1">
      <c r="A3" s="227"/>
      <c r="B3" s="228"/>
      <c r="C3" s="74" t="s">
        <v>101</v>
      </c>
      <c r="D3" s="75" t="s">
        <v>102</v>
      </c>
      <c r="E3" s="75" t="s">
        <v>91</v>
      </c>
      <c r="F3" s="75" t="s">
        <v>233</v>
      </c>
      <c r="G3" s="75" t="s">
        <v>132</v>
      </c>
      <c r="H3" s="75" t="s">
        <v>105</v>
      </c>
      <c r="I3" s="229" t="s">
        <v>234</v>
      </c>
      <c r="J3" s="539"/>
      <c r="K3" s="81"/>
      <c r="L3" s="81"/>
      <c r="M3" s="81"/>
    </row>
    <row r="4" spans="1:13" s="114" customFormat="1" ht="10.5" customHeight="1" hidden="1">
      <c r="A4" s="111" t="s">
        <v>215</v>
      </c>
      <c r="B4" s="112"/>
      <c r="C4" s="113"/>
      <c r="E4" s="115" t="s">
        <v>216</v>
      </c>
      <c r="F4" s="116"/>
      <c r="G4" s="117"/>
      <c r="H4" s="117"/>
      <c r="I4" s="230"/>
      <c r="J4" s="540"/>
      <c r="K4" s="540"/>
      <c r="L4" s="541"/>
      <c r="M4" s="541"/>
    </row>
    <row r="5" spans="1:11" ht="9" customHeight="1" thickBot="1">
      <c r="A5" s="570"/>
      <c r="C5" s="77"/>
      <c r="D5" s="77"/>
      <c r="E5" s="77"/>
      <c r="F5" s="77"/>
      <c r="G5" s="77"/>
      <c r="H5" s="77"/>
      <c r="I5" s="77"/>
      <c r="J5" s="542"/>
      <c r="K5" s="542"/>
    </row>
    <row r="6" spans="1:9" ht="13.5" customHeight="1">
      <c r="A6" s="78" t="s">
        <v>114</v>
      </c>
      <c r="B6" s="532" t="s">
        <v>1</v>
      </c>
      <c r="C6" s="31" t="s">
        <v>115</v>
      </c>
      <c r="D6" s="53" t="s">
        <v>375</v>
      </c>
      <c r="E6" s="569" t="s">
        <v>330</v>
      </c>
      <c r="F6" s="79"/>
      <c r="G6" s="80"/>
      <c r="H6" s="561">
        <v>37826</v>
      </c>
      <c r="I6" s="52"/>
    </row>
    <row r="7" spans="1:10" ht="13.5" customHeight="1">
      <c r="A7" s="231" t="s">
        <v>124</v>
      </c>
      <c r="B7" s="124" t="s">
        <v>126</v>
      </c>
      <c r="D7" s="84"/>
      <c r="E7" s="569" t="s">
        <v>330</v>
      </c>
      <c r="G7" s="82"/>
      <c r="H7" s="561">
        <f>H6</f>
        <v>37826</v>
      </c>
      <c r="I7" s="52"/>
      <c r="J7" s="83"/>
    </row>
    <row r="8" spans="1:10" ht="13.5" customHeight="1">
      <c r="A8" s="530"/>
      <c r="B8" s="531"/>
      <c r="D8" s="124" t="s">
        <v>294</v>
      </c>
      <c r="E8" s="533"/>
      <c r="G8" s="85"/>
      <c r="H8" s="484">
        <f>IF(B7="CS",1,IF(B7="AA",1,IF(B7="RA",1,2)))</f>
        <v>1</v>
      </c>
      <c r="I8" s="85"/>
      <c r="J8" s="543"/>
    </row>
    <row r="9" spans="1:11" ht="16.5" customHeight="1">
      <c r="A9" s="86" t="s">
        <v>149</v>
      </c>
      <c r="B9" s="87"/>
      <c r="C9" s="87"/>
      <c r="D9" s="87"/>
      <c r="E9" s="87"/>
      <c r="F9" s="87"/>
      <c r="G9" s="88"/>
      <c r="H9" s="413"/>
      <c r="I9" s="118"/>
      <c r="J9" s="538"/>
      <c r="K9" s="538"/>
    </row>
    <row r="10" spans="1:9" ht="13.5" customHeight="1">
      <c r="A10" s="89" t="s">
        <v>266</v>
      </c>
      <c r="B10" s="90"/>
      <c r="C10" s="91"/>
      <c r="D10" s="91"/>
      <c r="E10" s="90"/>
      <c r="F10" s="92"/>
      <c r="G10" s="92"/>
      <c r="H10" s="90"/>
      <c r="I10" s="119"/>
    </row>
    <row r="11" spans="1:8" ht="14.25" customHeight="1" thickBot="1">
      <c r="A11" s="93"/>
      <c r="B11" s="94" t="s">
        <v>134</v>
      </c>
      <c r="C11" s="95" t="s">
        <v>135</v>
      </c>
      <c r="D11" s="95"/>
      <c r="E11" s="96" t="s">
        <v>146</v>
      </c>
      <c r="F11" s="97" t="s">
        <v>93</v>
      </c>
      <c r="G11" s="97" t="s">
        <v>95</v>
      </c>
      <c r="H11" s="98" t="s">
        <v>94</v>
      </c>
    </row>
    <row r="12" spans="1:9" ht="14.25" customHeight="1" thickBot="1">
      <c r="A12" s="99" t="s">
        <v>327</v>
      </c>
      <c r="B12" s="4"/>
      <c r="C12" s="5"/>
      <c r="D12" s="102">
        <f>H12+G12*30+F12*360</f>
        <v>5700</v>
      </c>
      <c r="E12" s="15"/>
      <c r="F12" s="526">
        <v>15</v>
      </c>
      <c r="G12" s="50">
        <v>10</v>
      </c>
      <c r="H12" s="51"/>
      <c r="I12" s="17">
        <v>32994</v>
      </c>
    </row>
    <row r="13" spans="1:9" ht="14.25" customHeight="1" thickBot="1">
      <c r="A13" s="99" t="s">
        <v>321</v>
      </c>
      <c r="B13" s="4"/>
      <c r="C13" s="502"/>
      <c r="D13" s="102">
        <f>H13+G13*30+F13*360</f>
        <v>360</v>
      </c>
      <c r="E13" s="59"/>
      <c r="F13" s="503">
        <v>1</v>
      </c>
      <c r="G13" s="527"/>
      <c r="H13" s="528"/>
      <c r="I13" s="17"/>
    </row>
    <row r="14" spans="1:8" ht="13.5" customHeight="1">
      <c r="A14" s="100" t="s">
        <v>141</v>
      </c>
      <c r="B14" s="100"/>
      <c r="C14" s="93"/>
      <c r="D14" s="102">
        <f>H14+G14*30+F14*360</f>
        <v>6060</v>
      </c>
      <c r="E14" s="101"/>
      <c r="F14" s="101">
        <f>SUM(F12:F13)</f>
        <v>16</v>
      </c>
      <c r="G14" s="101">
        <f>SUM(G12:G13)</f>
        <v>10</v>
      </c>
      <c r="H14" s="101">
        <f>SUM(H12:H13)</f>
        <v>0</v>
      </c>
    </row>
    <row r="15" spans="1:8" ht="12.75" customHeight="1">
      <c r="A15" s="100"/>
      <c r="B15" s="100"/>
      <c r="F15" s="103"/>
      <c r="G15" s="104">
        <f>INT(INT(G14+H15)/12)</f>
        <v>0</v>
      </c>
      <c r="H15" s="104">
        <f>INT(H14/30)</f>
        <v>0</v>
      </c>
    </row>
    <row r="16" spans="1:8" ht="12.75" customHeight="1">
      <c r="A16" s="100"/>
      <c r="B16" s="100"/>
      <c r="D16" s="93"/>
      <c r="F16" s="103"/>
      <c r="G16" s="104">
        <f>G14+H15</f>
        <v>10</v>
      </c>
      <c r="H16" s="105"/>
    </row>
    <row r="17" spans="1:8" ht="12.75" customHeight="1">
      <c r="A17" s="106" t="s">
        <v>322</v>
      </c>
      <c r="C17" s="107"/>
      <c r="D17" s="107"/>
      <c r="E17" s="108">
        <f>D14</f>
        <v>6060</v>
      </c>
      <c r="F17" s="109">
        <f>F14+G15</f>
        <v>16</v>
      </c>
      <c r="G17" s="110">
        <f>MOD(G16,12)</f>
        <v>10</v>
      </c>
      <c r="H17" s="110">
        <f>MOD(H14,30)</f>
        <v>0</v>
      </c>
    </row>
    <row r="18" ht="5.25" customHeight="1"/>
    <row r="19" spans="10:13" s="29" customFormat="1" ht="6" customHeight="1">
      <c r="J19" s="121"/>
      <c r="K19" s="121"/>
      <c r="L19" s="121"/>
      <c r="M19" s="121"/>
    </row>
    <row r="20" spans="1:13" s="29" customFormat="1" ht="13.5" customHeight="1" hidden="1">
      <c r="A20" s="157" t="s">
        <v>96</v>
      </c>
      <c r="B20" s="158" t="s">
        <v>125</v>
      </c>
      <c r="C20" s="158" t="s">
        <v>128</v>
      </c>
      <c r="D20" s="158" t="s">
        <v>130</v>
      </c>
      <c r="E20" s="158" t="s">
        <v>127</v>
      </c>
      <c r="F20" s="158" t="s">
        <v>126</v>
      </c>
      <c r="G20" s="415" t="s">
        <v>129</v>
      </c>
      <c r="H20" s="416">
        <f>IF(D14&lt;1441,D14,IF(D14&gt;1441,1440+((D14-1440)*2/3)))</f>
        <v>4520</v>
      </c>
      <c r="J20" s="121"/>
      <c r="K20" s="163"/>
      <c r="L20" s="121"/>
      <c r="M20" s="121"/>
    </row>
    <row r="21" spans="1:13" s="29" customFormat="1" ht="13.5" customHeight="1" hidden="1" thickBot="1">
      <c r="A21" s="159" t="b">
        <f>IF($B$7="AA",IF($E$17&gt;=7200,$E$17,$H$20))</f>
        <v>0</v>
      </c>
      <c r="B21" s="160" t="b">
        <f>IF($B$7="CS",IF($E$17&gt;=7200,$E$17,$H$20))</f>
        <v>0</v>
      </c>
      <c r="C21" s="160" t="b">
        <f>IF($B$7="DD",IF($E$17&gt;=6480,$E$17,$H$20))</f>
        <v>0</v>
      </c>
      <c r="D21" s="160" t="b">
        <f>IF($B$7="DL",IF($E$17&gt;=5760,$E$17,$H$20))</f>
        <v>0</v>
      </c>
      <c r="E21" s="160" t="b">
        <f>IF($B$7="DM",IF($E$17&gt;=6480,$E$17,$H$20))</f>
        <v>0</v>
      </c>
      <c r="F21" s="160">
        <f>F12*360+G12*30+H12</f>
        <v>5700</v>
      </c>
      <c r="G21" s="160" t="b">
        <f>IF($B$7="SM",IF($E$17&gt;=6480,$E$17,$H$20))</f>
        <v>0</v>
      </c>
      <c r="H21" s="417">
        <f>D14-D24</f>
        <v>360</v>
      </c>
      <c r="J21" s="121"/>
      <c r="K21" s="121"/>
      <c r="L21" s="121"/>
      <c r="M21" s="121"/>
    </row>
    <row r="22" spans="1:13" s="29" customFormat="1" ht="13.5" customHeight="1" hidden="1">
      <c r="A22" s="159" t="b">
        <f>IF($B$7="aa",IF($A$21&gt;=7200,$E$17,$H$20))</f>
        <v>0</v>
      </c>
      <c r="B22" s="160" t="b">
        <f>IF($B$7="CS",IF($B$21&gt;=7200,$E$17,$H$20))</f>
        <v>0</v>
      </c>
      <c r="C22" s="160" t="b">
        <f>IF($B$7="DD",IF($C$21&gt;=6480,$E$17,$H$20))</f>
        <v>0</v>
      </c>
      <c r="D22" s="160" t="b">
        <f>IF($B$7="DL",IF($D$21&gt;=5760,$E$17,$H$20))</f>
        <v>0</v>
      </c>
      <c r="E22" s="160" t="b">
        <f>IF($B$7="DM",IF($E$21&gt;=6480,$E$17,$H$20))</f>
        <v>0</v>
      </c>
      <c r="F22" s="160">
        <f>IF($B$7="RA",IF($F$21&gt;=6480,$E$17,$H$20))</f>
        <v>4520</v>
      </c>
      <c r="G22" s="418" t="b">
        <f>IF($B$7="SM",IF($G$21&gt;=6480,$E$17,$H$20))</f>
        <v>0</v>
      </c>
      <c r="I22" s="419"/>
      <c r="J22" s="121"/>
      <c r="K22" s="121"/>
      <c r="L22" s="121"/>
      <c r="M22" s="121"/>
    </row>
    <row r="23" spans="1:13" s="29" customFormat="1" ht="13.5" customHeight="1" hidden="1" thickBot="1">
      <c r="A23" s="149" t="b">
        <f>IF($B$7="aa",IF($A$21&gt;=7200,0,$H$21))</f>
        <v>0</v>
      </c>
      <c r="B23" s="150" t="b">
        <f>IF($B$7="CS",IF($B$21&gt;=7200,0,$H$21))</f>
        <v>0</v>
      </c>
      <c r="C23" s="150" t="b">
        <f>IF($B$7="DD",IF($C$21&gt;=6480,0,$H$21))</f>
        <v>0</v>
      </c>
      <c r="D23" s="160" t="b">
        <f>IF($B$7="DL",IF($D$21&gt;=5760,0,$H$21))</f>
        <v>0</v>
      </c>
      <c r="E23" s="160" t="b">
        <f>IF($B$7="DM",IF($E$21&gt;=6480,0,$H$21))</f>
        <v>0</v>
      </c>
      <c r="F23" s="160">
        <f>IF($B$7="RA",IF($F$21&gt;=6480,0,$H$21))</f>
        <v>360</v>
      </c>
      <c r="G23" s="151" t="b">
        <f>IF($B$7="SM",IF($G$21&gt;=6480,0,$H$21))</f>
        <v>0</v>
      </c>
      <c r="J23" s="121"/>
      <c r="K23" s="121"/>
      <c r="L23" s="121"/>
      <c r="M23" s="121"/>
    </row>
    <row r="24" spans="1:15" s="29" customFormat="1" ht="13.5" customHeight="1">
      <c r="A24" s="583"/>
      <c r="B24" s="120" t="s">
        <v>222</v>
      </c>
      <c r="C24" s="121"/>
      <c r="D24" s="122">
        <f>IF(F12&gt;=18,D14,D12)</f>
        <v>5700</v>
      </c>
      <c r="E24" s="123">
        <f>INT(D24/360)</f>
        <v>15</v>
      </c>
      <c r="F24" s="124">
        <f>INT(INT(D24-(E24*360))/30)</f>
        <v>10</v>
      </c>
      <c r="G24" s="124">
        <f>D24-(E24*360)-(F24*30)</f>
        <v>0</v>
      </c>
      <c r="I24" s="13"/>
      <c r="J24" s="544"/>
      <c r="K24" s="545"/>
      <c r="L24" s="140"/>
      <c r="M24" s="140"/>
      <c r="N24" s="32"/>
      <c r="O24" s="32"/>
    </row>
    <row r="25" spans="1:13" s="29" customFormat="1" ht="13.5" customHeight="1">
      <c r="A25" s="583"/>
      <c r="B25" s="120" t="s">
        <v>223</v>
      </c>
      <c r="C25" s="121"/>
      <c r="D25" s="122">
        <f>IF(F12&gt;=18,0,H13+G13*30+F13*360)</f>
        <v>360</v>
      </c>
      <c r="E25" s="123">
        <f>INT(D25/360)</f>
        <v>1</v>
      </c>
      <c r="F25" s="124">
        <f>INT(INT(D25-(E25*360))/30)</f>
        <v>0</v>
      </c>
      <c r="G25" s="124">
        <f>D25-(E25*360)-(F25*30)</f>
        <v>0</v>
      </c>
      <c r="J25" s="544"/>
      <c r="K25" s="121"/>
      <c r="L25" s="121"/>
      <c r="M25" s="121"/>
    </row>
    <row r="26" spans="4:15" s="29" customFormat="1" ht="13.5" customHeight="1" hidden="1">
      <c r="D26" s="126">
        <f>D36+D25</f>
        <v>6060</v>
      </c>
      <c r="E26" s="123">
        <f>INT(D26/360)</f>
        <v>16</v>
      </c>
      <c r="F26" s="124">
        <f>INT(INT(D26-(E26*360))/30)</f>
        <v>10</v>
      </c>
      <c r="G26" s="124">
        <f>D26-(E26*360)-(F26*30)</f>
        <v>0</v>
      </c>
      <c r="I26" s="129"/>
      <c r="J26" s="546"/>
      <c r="K26" s="547"/>
      <c r="L26" s="142"/>
      <c r="M26" s="548"/>
      <c r="N26" s="131"/>
      <c r="O26" s="131"/>
    </row>
    <row r="27" spans="4:15" s="29" customFormat="1" ht="13.5" customHeight="1">
      <c r="D27" s="126"/>
      <c r="E27" s="127"/>
      <c r="F27" s="128"/>
      <c r="G27" s="128"/>
      <c r="I27" s="129"/>
      <c r="J27" s="546"/>
      <c r="K27" s="547"/>
      <c r="L27" s="142"/>
      <c r="M27" s="548"/>
      <c r="N27" s="131"/>
      <c r="O27" s="131"/>
    </row>
    <row r="28" spans="1:13" s="29" customFormat="1" ht="13.5" customHeight="1">
      <c r="A28" s="132"/>
      <c r="B28" s="133" t="s">
        <v>134</v>
      </c>
      <c r="C28" s="134" t="s">
        <v>135</v>
      </c>
      <c r="D28" s="135" t="s">
        <v>148</v>
      </c>
      <c r="E28" s="136" t="s">
        <v>93</v>
      </c>
      <c r="F28" s="136" t="s">
        <v>95</v>
      </c>
      <c r="G28" s="133" t="s">
        <v>94</v>
      </c>
      <c r="H28" s="137"/>
      <c r="J28" s="121"/>
      <c r="K28" s="143"/>
      <c r="L28" s="121"/>
      <c r="M28" s="121"/>
    </row>
    <row r="29" spans="1:14" s="29" customFormat="1" ht="13.5" customHeight="1">
      <c r="A29" s="138" t="s">
        <v>188</v>
      </c>
      <c r="B29" s="139">
        <f>H6</f>
        <v>37826</v>
      </c>
      <c r="C29" s="139">
        <f>IF(B30=31,C30+1,C30)</f>
        <v>37826</v>
      </c>
      <c r="D29" s="122">
        <f>IF(F12&gt;=18,E17,D24)</f>
        <v>5700</v>
      </c>
      <c r="E29" s="123">
        <f>INT(D29/360)</f>
        <v>15</v>
      </c>
      <c r="F29" s="124">
        <f>INT(INT(D29-(E29*360))/30)</f>
        <v>10</v>
      </c>
      <c r="G29" s="124">
        <f>D29-(E29*360)-(F29*30)</f>
        <v>0</v>
      </c>
      <c r="I29" s="13"/>
      <c r="J29" s="544"/>
      <c r="K29" s="140"/>
      <c r="L29" s="140"/>
      <c r="M29" s="140"/>
      <c r="N29" s="32"/>
    </row>
    <row r="30" spans="1:13" s="130" customFormat="1" ht="13.5" customHeight="1">
      <c r="A30" s="478"/>
      <c r="B30" s="130">
        <f>DAY(C30)</f>
        <v>24</v>
      </c>
      <c r="C30" s="479">
        <f>IF(H7&lt;I12,I12,IF(B7="CS",H7,IF(B7="AA",H7,IF(B7="RA",H7,IF(B8="X",H7,H7+365)))))</f>
        <v>37826</v>
      </c>
      <c r="D30" s="480">
        <f>D29+D24+D25</f>
        <v>11760</v>
      </c>
      <c r="E30" s="481"/>
      <c r="F30" s="482"/>
      <c r="G30" s="482"/>
      <c r="I30" s="483"/>
      <c r="J30" s="547"/>
      <c r="K30" s="549"/>
      <c r="L30" s="547"/>
      <c r="M30" s="547"/>
    </row>
    <row r="31" spans="1:13" s="29" customFormat="1" ht="13.5" customHeight="1" hidden="1" thickBot="1">
      <c r="A31" s="145" t="s">
        <v>96</v>
      </c>
      <c r="B31" s="145" t="s">
        <v>125</v>
      </c>
      <c r="C31" s="145" t="s">
        <v>128</v>
      </c>
      <c r="D31" s="145" t="s">
        <v>130</v>
      </c>
      <c r="E31" s="145" t="s">
        <v>127</v>
      </c>
      <c r="F31" s="145" t="s">
        <v>126</v>
      </c>
      <c r="G31" s="145" t="s">
        <v>129</v>
      </c>
      <c r="I31" s="144"/>
      <c r="J31" s="121"/>
      <c r="K31" s="163"/>
      <c r="L31" s="121"/>
      <c r="M31" s="121"/>
    </row>
    <row r="32" spans="1:13" s="29" customFormat="1" ht="13.5" customHeight="1" hidden="1">
      <c r="A32" s="146" t="b">
        <f>IF($B$7="AA",IF($D$30&lt;7200,$D$24+$D$29,$D$30))</f>
        <v>0</v>
      </c>
      <c r="B32" s="147" t="b">
        <f>IF($B$7="CS",IF($D$30&lt;7200,$D$24+$D$29,$D$30))</f>
        <v>0</v>
      </c>
      <c r="C32" s="147" t="b">
        <f>IF($B$7="DD",IF($D$30&lt;6120,$D$24+$D$29,$D$30))</f>
        <v>0</v>
      </c>
      <c r="D32" s="147" t="b">
        <f>IF($B$7="DL",IF($D$30&lt;5760,$D$24+$D$29,$D$30))</f>
        <v>0</v>
      </c>
      <c r="E32" s="147" t="b">
        <f>IF($B$7="DM",IF($D$30&lt;6120,$D$24+$D$29,$D$30))</f>
        <v>0</v>
      </c>
      <c r="F32" s="147">
        <f>IF($B$7="RA",IF($D$30&lt;6120,$D$24+$D$29,$D$30))</f>
        <v>11760</v>
      </c>
      <c r="G32" s="148" t="b">
        <f>IF($B$7="SM",IF($D$30&lt;6120,$D$24+$D$29,$D$30))</f>
        <v>0</v>
      </c>
      <c r="J32" s="121"/>
      <c r="K32" s="163"/>
      <c r="L32" s="121"/>
      <c r="M32" s="121"/>
    </row>
    <row r="33" spans="1:13" s="29" customFormat="1" ht="13.5" customHeight="1" hidden="1" thickBot="1">
      <c r="A33" s="149" t="b">
        <f>IF($B$7="AA",IF($D$30&lt;7200,$D$25,0))</f>
        <v>0</v>
      </c>
      <c r="B33" s="150" t="b">
        <f>IF($B$7="CS",IF($D$30&lt;7200,$D$25,0))</f>
        <v>0</v>
      </c>
      <c r="C33" s="150" t="b">
        <f>IF($B$7="DD",IF($D$30&lt;6120,$D$25,0))</f>
        <v>0</v>
      </c>
      <c r="D33" s="150" t="b">
        <f>IF($B$7="DL",IF($D$30&lt;5760,$D$25,0))</f>
        <v>0</v>
      </c>
      <c r="E33" s="150" t="b">
        <f>IF($B$7="DM",IF($D$30&lt;6120,$D$25,0))</f>
        <v>0</v>
      </c>
      <c r="F33" s="150">
        <f>IF($B$7="RA",IF($D$30&lt;6120,$D$25,0))</f>
        <v>0</v>
      </c>
      <c r="G33" s="151" t="b">
        <f>IF($B$7="SM",IF($D$30&lt;6120,$D$25,0))</f>
        <v>0</v>
      </c>
      <c r="I33" s="144"/>
      <c r="J33" s="121"/>
      <c r="K33" s="163"/>
      <c r="L33" s="121"/>
      <c r="M33" s="121"/>
    </row>
    <row r="34" spans="1:13" s="29" customFormat="1" ht="13.5" customHeight="1">
      <c r="A34" s="172" t="s">
        <v>362</v>
      </c>
      <c r="B34" s="173"/>
      <c r="C34" s="173"/>
      <c r="D34" s="173"/>
      <c r="F34" s="132"/>
      <c r="G34" s="172">
        <f>E49</f>
      </c>
      <c r="J34" s="121"/>
      <c r="K34" s="121"/>
      <c r="L34" s="121"/>
      <c r="M34" s="121"/>
    </row>
    <row r="35" spans="1:13" s="29" customFormat="1" ht="13.5" customHeight="1">
      <c r="A35" s="132"/>
      <c r="B35" s="133"/>
      <c r="E35" s="136"/>
      <c r="F35" s="136"/>
      <c r="G35" s="133"/>
      <c r="J35" s="121"/>
      <c r="K35" s="143"/>
      <c r="L35" s="121"/>
      <c r="M35" s="121"/>
    </row>
    <row r="36" spans="1:13" s="29" customFormat="1" ht="13.5" customHeight="1" thickBot="1">
      <c r="A36" s="152" t="s">
        <v>228</v>
      </c>
      <c r="B36" s="153"/>
      <c r="C36" s="232">
        <f>C29</f>
        <v>37826</v>
      </c>
      <c r="D36" s="126">
        <f>D24</f>
        <v>5700</v>
      </c>
      <c r="E36" s="123">
        <f>INT(D36/360)</f>
        <v>15</v>
      </c>
      <c r="F36" s="124">
        <f>INT(INT(D36-(E36*360))/30)</f>
        <v>10</v>
      </c>
      <c r="G36" s="124">
        <f>D36-(E36*360)-(F36*30)</f>
        <v>0</v>
      </c>
      <c r="H36" s="137"/>
      <c r="J36" s="121"/>
      <c r="K36" s="121"/>
      <c r="L36" s="121"/>
      <c r="M36" s="121"/>
    </row>
    <row r="37" spans="1:13" s="29" customFormat="1" ht="13.5" customHeight="1" hidden="1" thickBot="1">
      <c r="A37" s="414">
        <v>36306</v>
      </c>
      <c r="B37" s="141">
        <f>A37</f>
        <v>36306</v>
      </c>
      <c r="C37" s="233">
        <f>C36</f>
        <v>37826</v>
      </c>
      <c r="D37" s="174"/>
      <c r="E37" s="132"/>
      <c r="F37" s="175"/>
      <c r="G37" s="132"/>
      <c r="H37" s="132"/>
      <c r="J37" s="121"/>
      <c r="K37" s="121"/>
      <c r="L37" s="121"/>
      <c r="M37" s="121"/>
    </row>
    <row r="38" spans="1:13" s="29" customFormat="1" ht="14.25" thickBot="1">
      <c r="A38" s="176" t="s">
        <v>227</v>
      </c>
      <c r="B38" s="164"/>
      <c r="C38" s="164"/>
      <c r="D38" s="234">
        <f>E36</f>
        <v>15</v>
      </c>
      <c r="E38" s="183" t="s">
        <v>331</v>
      </c>
      <c r="F38" s="184"/>
      <c r="G38" s="170">
        <f>IF(E41&lt;3,0,IF(E41&lt;9,3,IF(E41&lt;15,9,IF(E41&lt;21,15,IF(E41&lt;28,21,IF(E41&lt;35,28,IF(E41&lt;41,35)))))))</f>
        <v>15</v>
      </c>
      <c r="H38" s="184" t="s">
        <v>165</v>
      </c>
      <c r="I38" s="235" t="str">
        <f>IF(G38=0,"0 - 2",IF(G38=3,"3 - 8",IF(G38=9,"9 - 14",IF(G38=15,"15 - 20",IF(G38=21,"21 - 27",IF(G38=28,"28 - 35",IF(G38=35,"35")))))))</f>
        <v>15 - 20</v>
      </c>
      <c r="J38" s="550"/>
      <c r="K38" s="121"/>
      <c r="L38" s="121"/>
      <c r="M38" s="121"/>
    </row>
    <row r="39" spans="1:13" s="29" customFormat="1" ht="18" customHeight="1">
      <c r="A39" s="152" t="s">
        <v>153</v>
      </c>
      <c r="C39" s="165"/>
      <c r="D39" s="165"/>
      <c r="E39" s="169" t="s">
        <v>151</v>
      </c>
      <c r="G39" s="178">
        <f>IF(D38&lt;3,0,IF(D38&lt;9,3,IF(D38&lt;15,9,IF(D38&lt;21,15,IF(D38&lt;28,21,IF(D38&lt;35,28,IF(D38&lt;40,35)))))))</f>
        <v>15</v>
      </c>
      <c r="H39" s="29" t="str">
        <f>IF(G39=0,"PRIMA",IF(G39=3,"SECONDA",IF(G39=9,"TERZA",IF(G39=15,"QUARTA",IF(G39=21,"QUINTA",IF(G39=28,"SESTA",IF(G39=35,"SETTIMA","")))))))</f>
        <v>QUARTA</v>
      </c>
      <c r="I39" s="165" t="s">
        <v>283</v>
      </c>
      <c r="J39" s="121"/>
      <c r="K39" s="121"/>
      <c r="L39" s="121"/>
      <c r="M39" s="121"/>
    </row>
    <row r="40" spans="1:13" s="6" customFormat="1" ht="15">
      <c r="A40" s="152" t="s">
        <v>22</v>
      </c>
      <c r="B40" s="29"/>
      <c r="C40" s="165"/>
      <c r="D40" s="165"/>
      <c r="E40" s="154" t="s">
        <v>235</v>
      </c>
      <c r="F40" s="504">
        <f>IF(D38&lt;3,D38,IF(D38&lt;9,D38-3,IF(D38&lt;15,D38-9,IF(D38&lt;21,D38-15,IF(D38&lt;28,D38-21,IF(D38&lt;35,D38-28,""))))))</f>
        <v>0</v>
      </c>
      <c r="G40" s="154" t="s">
        <v>236</v>
      </c>
      <c r="H40" s="236">
        <f>F36</f>
        <v>10</v>
      </c>
      <c r="J40" s="163"/>
      <c r="K40" s="121"/>
      <c r="L40" s="551"/>
      <c r="M40" s="551"/>
    </row>
    <row r="41" spans="1:13" s="29" customFormat="1" ht="13.5" customHeight="1">
      <c r="A41" s="176" t="s">
        <v>226</v>
      </c>
      <c r="B41" s="179"/>
      <c r="C41" s="179"/>
      <c r="D41" s="179"/>
      <c r="E41" s="123">
        <f>E36</f>
        <v>15</v>
      </c>
      <c r="F41" s="123">
        <f>F36</f>
        <v>10</v>
      </c>
      <c r="G41" s="123">
        <f>G36</f>
        <v>0</v>
      </c>
      <c r="H41" s="126">
        <f>(E41*360)+(F41*30)+G41</f>
        <v>5700</v>
      </c>
      <c r="J41" s="406"/>
      <c r="K41" s="406"/>
      <c r="L41" s="121"/>
      <c r="M41" s="121"/>
    </row>
    <row r="42" spans="1:13" s="29" customFormat="1" ht="9" customHeight="1" thickBot="1">
      <c r="A42" s="152"/>
      <c r="B42" s="180"/>
      <c r="C42" s="180"/>
      <c r="D42" s="180"/>
      <c r="E42" s="128"/>
      <c r="F42" s="128"/>
      <c r="G42" s="128"/>
      <c r="H42" s="180"/>
      <c r="I42" s="237"/>
      <c r="J42" s="406"/>
      <c r="K42" s="406"/>
      <c r="L42" s="121"/>
      <c r="M42" s="121"/>
    </row>
    <row r="43" spans="1:13" s="29" customFormat="1" ht="17.25" customHeight="1" thickBot="1">
      <c r="A43" s="181" t="s">
        <v>230</v>
      </c>
      <c r="B43" s="182"/>
      <c r="C43" s="232">
        <f>C36</f>
        <v>37826</v>
      </c>
      <c r="D43" s="584">
        <f>B49</f>
        <v>45756035.0954</v>
      </c>
      <c r="E43" s="585"/>
      <c r="F43" s="486" t="s">
        <v>70</v>
      </c>
      <c r="G43" s="487" t="s">
        <v>23</v>
      </c>
      <c r="H43" s="586">
        <f>D43/1936.27</f>
        <v>23631.02</v>
      </c>
      <c r="I43" s="587"/>
      <c r="J43" s="121"/>
      <c r="K43" s="406"/>
      <c r="L43" s="121"/>
      <c r="M43" s="121"/>
    </row>
    <row r="44" spans="1:14" s="193" customFormat="1" ht="13.5" customHeight="1" hidden="1">
      <c r="A44" s="373" t="s">
        <v>10</v>
      </c>
      <c r="B44" s="373" t="s">
        <v>11</v>
      </c>
      <c r="C44" s="193" t="s">
        <v>12</v>
      </c>
      <c r="D44" s="193" t="s">
        <v>13</v>
      </c>
      <c r="E44" s="401" t="s">
        <v>14</v>
      </c>
      <c r="F44" s="193" t="s">
        <v>15</v>
      </c>
      <c r="G44" s="193" t="s">
        <v>16</v>
      </c>
      <c r="H44" s="373" t="s">
        <v>17</v>
      </c>
      <c r="I44" s="402" t="s">
        <v>18</v>
      </c>
      <c r="J44" s="552" t="s">
        <v>64</v>
      </c>
      <c r="K44" s="552" t="s">
        <v>65</v>
      </c>
      <c r="L44" s="553" t="s">
        <v>46</v>
      </c>
      <c r="M44" s="553" t="s">
        <v>47</v>
      </c>
      <c r="N44" s="193" t="s">
        <v>63</v>
      </c>
    </row>
    <row r="45" spans="1:14" s="29" customFormat="1" ht="13.5" customHeight="1" hidden="1" thickBot="1">
      <c r="A45" s="238">
        <v>35065</v>
      </c>
      <c r="B45" s="238">
        <v>35370</v>
      </c>
      <c r="C45" s="239">
        <v>35612</v>
      </c>
      <c r="D45" s="240">
        <v>36100</v>
      </c>
      <c r="E45" s="239">
        <v>36312</v>
      </c>
      <c r="F45" s="240">
        <v>36708</v>
      </c>
      <c r="G45" s="239">
        <v>36892</v>
      </c>
      <c r="H45" s="240">
        <v>37257</v>
      </c>
      <c r="I45" s="239">
        <v>37622</v>
      </c>
      <c r="J45" s="239">
        <v>37987</v>
      </c>
      <c r="K45" s="239">
        <v>38384</v>
      </c>
      <c r="L45" s="239">
        <v>38718</v>
      </c>
      <c r="M45" s="239">
        <v>39083</v>
      </c>
      <c r="N45" s="239">
        <v>39448</v>
      </c>
    </row>
    <row r="46" spans="1:14" s="243" customFormat="1" ht="13.5" customHeight="1" hidden="1" thickBot="1">
      <c r="A46" s="241" t="b">
        <f>IF($C$37&lt;$B$48,HLOOKUP($B$7,TAB!$B$135:$I$142,$I$51))</f>
        <v>0</v>
      </c>
      <c r="B46" s="241" t="b">
        <f>IF($C$37&lt;$C$48,HLOOKUP($B$7,TAB!$B$135:$I$142,$I$51))</f>
        <v>0</v>
      </c>
      <c r="C46" s="407" t="b">
        <f>IF($C$37&lt;$D$48,HLOOKUP($B$7,TAB!B210:I217,$I$51))</f>
        <v>0</v>
      </c>
      <c r="D46" s="242" t="b">
        <f>IF($C$37&lt;$E$48,HLOOKUP($B$7,TAB!B210:I217,$I$51))</f>
        <v>0</v>
      </c>
      <c r="E46" s="408" t="b">
        <f>IF($C$37&lt;$F$48,HLOOKUP($B$7,TAB!B263:I270,$I$51))</f>
        <v>0</v>
      </c>
      <c r="F46" s="242" t="b">
        <f>IF($C$37&lt;$G$48,HLOOKUP($B$7,TAB!B263:I270,$I$51))</f>
        <v>0</v>
      </c>
      <c r="G46" s="408" t="b">
        <f>IF($C$37&lt;$H$48,HLOOKUP($B$7,TAB!B310:I317,$I$51))</f>
        <v>0</v>
      </c>
      <c r="H46" s="408" t="b">
        <f>IF($C$37&lt;$I$48,HLOOKUP($B$7,TAB!C310:J317,$I$51))</f>
        <v>0</v>
      </c>
      <c r="I46" s="408">
        <f>IF($C$37&lt;&gt;$I$48,HLOOKUP($B$7,TAB!B362:I369,$I$51)*1936.27)</f>
        <v>45756035.0954</v>
      </c>
      <c r="J46" s="408">
        <f>IF($C$37&lt;&gt;$J$48,HLOOKUP($B$7,TAB!B422:I429,$I$51)*1936.27)</f>
        <v>46722156.3746</v>
      </c>
      <c r="K46" s="408">
        <f>IF($C$37&lt;&gt;$K$48,HLOOKUP($B$7,TAB!B432:I439,$I$51)*1936.27)</f>
        <v>47970721.3587</v>
      </c>
      <c r="L46" s="408">
        <f>IF($C$37&lt;&gt;$L$48,HLOOKUP($B$7,TAB!L442:S449,$I$51)*1936.27)</f>
        <v>48190759.0815</v>
      </c>
      <c r="M46" s="408">
        <f>IF($C$37&lt;&gt;$M$48,HLOOKUP($B$7,TAB!K452:S459,$I$51)*1936.27)</f>
        <v>49099489.3179</v>
      </c>
      <c r="N46" s="471">
        <f>IF($C$37&lt;&gt;$N$48,HLOOKUP($B$7,TAB!L462:S469,$I$51))</f>
        <v>26042.85</v>
      </c>
    </row>
    <row r="47" spans="1:14" s="243" customFormat="1" ht="13.5" customHeight="1" hidden="1">
      <c r="A47" s="241" t="b">
        <f>IF($C$37&lt;$B$48,HLOOKUP($B$7,TAB!B157:I164,$I$51))</f>
        <v>0</v>
      </c>
      <c r="B47" s="241" t="b">
        <f>IF($C$37&lt;$C$48,HLOOKUP($B$7,TAB!B178:I185,$I$51))</f>
        <v>0</v>
      </c>
      <c r="C47" s="245"/>
      <c r="D47" s="242" t="b">
        <f>IF($C$37&lt;$E$48,HLOOKUP($B$7,TAB!B220:I227,$I$51))</f>
        <v>0</v>
      </c>
      <c r="E47" s="246"/>
      <c r="F47" s="242" t="b">
        <f>IF($C$37&lt;$G$48,HLOOKUP($B$7,TAB!B275:I282,$I$51))</f>
        <v>0</v>
      </c>
      <c r="G47" s="247"/>
      <c r="H47" s="403" t="b">
        <f>IF($C$37&lt;$I$48,HLOOKUP($B$7,TAB!B338:I345,$I$51)*1936.27)</f>
        <v>0</v>
      </c>
      <c r="J47" s="554"/>
      <c r="K47" s="244"/>
      <c r="L47" s="244"/>
      <c r="M47" s="244"/>
      <c r="N47" s="244"/>
    </row>
    <row r="48" spans="1:14" s="243" customFormat="1" ht="13.5" customHeight="1" hidden="1" thickBot="1">
      <c r="A48" s="248"/>
      <c r="B48" s="248">
        <f aca="true" t="shared" si="0" ref="B48:K48">B45</f>
        <v>35370</v>
      </c>
      <c r="C48" s="249">
        <f t="shared" si="0"/>
        <v>35612</v>
      </c>
      <c r="D48" s="249">
        <f t="shared" si="0"/>
        <v>36100</v>
      </c>
      <c r="E48" s="250">
        <f t="shared" si="0"/>
        <v>36312</v>
      </c>
      <c r="F48" s="250">
        <f t="shared" si="0"/>
        <v>36708</v>
      </c>
      <c r="G48" s="250">
        <f t="shared" si="0"/>
        <v>36892</v>
      </c>
      <c r="H48" s="250">
        <f t="shared" si="0"/>
        <v>37257</v>
      </c>
      <c r="I48" s="250">
        <f t="shared" si="0"/>
        <v>37622</v>
      </c>
      <c r="J48" s="250">
        <f t="shared" si="0"/>
        <v>37987</v>
      </c>
      <c r="K48" s="250">
        <f t="shared" si="0"/>
        <v>38384</v>
      </c>
      <c r="L48" s="250">
        <f>L45</f>
        <v>38718</v>
      </c>
      <c r="M48" s="250">
        <f>M45</f>
        <v>39083</v>
      </c>
      <c r="N48" s="250">
        <f>N45</f>
        <v>39448</v>
      </c>
    </row>
    <row r="49" spans="1:11" s="243" customFormat="1" ht="13.5" customHeight="1" hidden="1">
      <c r="A49" s="404">
        <f>IF($C$37&lt;$B$48,A46,IF($C$37&lt;$C$48,B46,IF($C$37&lt;$D$48,C46,IF($C$37&lt;$E$48,D46,IF($C$37&lt;$F$48,E46,IF($C$37&lt;$G$48,F46,""))))))</f>
      </c>
      <c r="B49" s="404">
        <f>IF($C$37&lt;$G$48,A49,IF($C$37&lt;$H$48,G46,IF($C$37&lt;$I$48,H46,IF($C$37&lt;$J$48,I46,IF($C$37&lt;$K$48,J46,IF($C$37&lt;$L$48,K46,IF($C$37&lt;$M$48,L46,IF($C$37&gt;$M$48,M46))))))))</f>
        <v>45756035.0954</v>
      </c>
      <c r="C49" s="404">
        <f>IF($C$37&lt;$B$48,A47*12,IF($C$37&lt;$C$48,B47*12,IF($C$37&lt;$D$48,C47*12,IF($C$37&lt;$E$48,D47*12,IF($C$37&lt;$F$48,E47*12,IF($C$37&lt;$G$48,F47*12,""))))))</f>
      </c>
      <c r="D49" s="404">
        <f>IF($C$37&lt;$G$48,C49,IF($C$37&lt;$H$48,G47*12,IF($C$37&lt;$I$48,H47*12,IF($C$37&gt;=$I$48,I47*12))))</f>
        <v>0</v>
      </c>
      <c r="E49" s="264">
        <f>IF($C$37&lt;$B$48,"4/8/95",IF($C$37&lt;$C$48,"4/8/95",IF($C$37&lt;$D$48,"1/8/96",IF($C$37&lt;$E$48,"26/5/99",IF($C$37&lt;$F$48,"26/5/99",IF($C$37&lt;$G$48,"26/5/99",""))))))</f>
      </c>
      <c r="F49" s="264">
        <f>IF($C$37&lt;$C$48,"1/8/96",IF($C$37&lt;$E$48,"26/05/99",IF($C$37&lt;$H$48,"15/03/01",IF($C$37&lt;=$I$48,"24/7/03",""))))</f>
      </c>
      <c r="G49" s="141"/>
      <c r="H49" s="141"/>
      <c r="I49" s="141"/>
      <c r="J49" s="554"/>
      <c r="K49" s="244"/>
    </row>
    <row r="50" spans="1:13" s="29" customFormat="1" ht="13.5" customHeight="1">
      <c r="A50" s="182"/>
      <c r="B50" s="473"/>
      <c r="C50" s="185"/>
      <c r="D50" s="185"/>
      <c r="E50" s="186"/>
      <c r="F50" s="170" t="s">
        <v>142</v>
      </c>
      <c r="G50" s="170" t="s">
        <v>143</v>
      </c>
      <c r="H50" s="170" t="s">
        <v>144</v>
      </c>
      <c r="I50" s="219"/>
      <c r="J50" s="406"/>
      <c r="K50" s="406"/>
      <c r="L50" s="121"/>
      <c r="M50" s="121"/>
    </row>
    <row r="51" spans="1:13" s="29" customFormat="1" ht="13.5" customHeight="1">
      <c r="A51" s="187" t="s">
        <v>99</v>
      </c>
      <c r="B51" s="180"/>
      <c r="C51" s="188">
        <f>IF(G38=0,(3*360),IF(G38=3,(9*360),IF(G38=9,(15*360),IF(G38=15,(21*360),IF(G38=21,(28*360),IF(G38=28,(35*360),0))))))</f>
        <v>7560</v>
      </c>
      <c r="D51" s="189" t="s">
        <v>100</v>
      </c>
      <c r="E51" s="126">
        <f>C51-H41</f>
        <v>1860</v>
      </c>
      <c r="F51" s="123">
        <f>INT(E51/360)</f>
        <v>5</v>
      </c>
      <c r="G51" s="124">
        <f>INT(INT(E51-(F51*360))/30)</f>
        <v>2</v>
      </c>
      <c r="H51" s="124">
        <f>E51-(F51*360)-(G51*30)</f>
        <v>0</v>
      </c>
      <c r="I51" s="251">
        <f>IF(D38&lt;3,2,IF(D38&lt;9,3,IF(D38&lt;15,4,IF(D38&lt;21,5,IF(D38&lt;28,6,IF(D38&lt;35,7,IF(D38&lt;40,8)))))))</f>
        <v>5</v>
      </c>
      <c r="J51" s="406"/>
      <c r="K51" s="563" t="s">
        <v>336</v>
      </c>
      <c r="L51" s="121"/>
      <c r="M51" s="121"/>
    </row>
    <row r="52" spans="2:13" s="259" customFormat="1" ht="13.5" customHeight="1">
      <c r="B52" s="252"/>
      <c r="C52" s="253"/>
      <c r="D52" s="254"/>
      <c r="E52" s="255"/>
      <c r="F52" s="256"/>
      <c r="G52" s="257"/>
      <c r="H52" s="257"/>
      <c r="I52" s="258"/>
      <c r="J52" s="552"/>
      <c r="K52" s="564">
        <f>N245</f>
        <v>16</v>
      </c>
      <c r="L52" s="553"/>
      <c r="M52" s="553"/>
    </row>
    <row r="53" spans="1:13" s="29" customFormat="1" ht="13.5" customHeight="1">
      <c r="A53" s="187" t="s">
        <v>97</v>
      </c>
      <c r="B53" s="180"/>
      <c r="C53" s="166">
        <f>C36</f>
        <v>37826</v>
      </c>
      <c r="D53" s="260">
        <f>DAY(F53)</f>
        <v>24</v>
      </c>
      <c r="E53" s="190">
        <f>DATE(YEAR(C53)+F51,MONTH(C53)+G51,DAY(C53)+H51)</f>
        <v>39715</v>
      </c>
      <c r="F53" s="529">
        <f>E53</f>
        <v>39715</v>
      </c>
      <c r="G53" s="180"/>
      <c r="H53" s="161">
        <f>IF(G38&lt;3,2,IF(G38&lt;9,3,IF(G38&lt;15,4,IF(G38&lt;21,5,IF(G38&lt;28,6,IF(G38&lt;35,7,IF(G38&lt;40,8)))))))</f>
        <v>5</v>
      </c>
      <c r="I53" s="261" t="s">
        <v>193</v>
      </c>
      <c r="J53" s="406"/>
      <c r="K53" s="564">
        <f>N258</f>
        <v>17</v>
      </c>
      <c r="L53" s="121"/>
      <c r="M53" s="121"/>
    </row>
    <row r="54" spans="1:13" s="29" customFormat="1" ht="15.75" customHeight="1">
      <c r="A54" s="187" t="s">
        <v>161</v>
      </c>
      <c r="E54" s="262"/>
      <c r="F54" s="232">
        <f>F53-(D53-1)</f>
        <v>39692</v>
      </c>
      <c r="G54" s="192">
        <f>IF(G38=0,3,IF(G38=3,9,IF(G38=9,15,IF(G38=15,21,IF(G38=21,28,IF(G38=28,35))))))</f>
        <v>21</v>
      </c>
      <c r="H54" s="193">
        <f>YEAR(E53)</f>
        <v>2008</v>
      </c>
      <c r="I54" s="219"/>
      <c r="J54" s="406"/>
      <c r="K54" s="564">
        <f>N272</f>
        <v>18</v>
      </c>
      <c r="L54" s="121"/>
      <c r="M54" s="121"/>
    </row>
    <row r="55" spans="1:13" s="29" customFormat="1" ht="14.25" customHeight="1" thickBot="1">
      <c r="A55" s="187"/>
      <c r="E55" s="191"/>
      <c r="F55" s="193"/>
      <c r="H55" s="128"/>
      <c r="I55" s="219"/>
      <c r="J55" s="406"/>
      <c r="K55" s="564">
        <f>N288</f>
        <v>19</v>
      </c>
      <c r="L55" s="121"/>
      <c r="M55" s="121"/>
    </row>
    <row r="56" spans="1:13" s="37" customFormat="1" ht="13.5" customHeight="1">
      <c r="A56" s="511" t="s">
        <v>192</v>
      </c>
      <c r="B56" s="512"/>
      <c r="C56" s="513">
        <f>C36</f>
        <v>37826</v>
      </c>
      <c r="D56" s="514"/>
      <c r="E56" s="515"/>
      <c r="F56" s="514"/>
      <c r="G56" s="514"/>
      <c r="H56" s="516"/>
      <c r="I56" s="457" t="s">
        <v>43</v>
      </c>
      <c r="J56" s="406"/>
      <c r="K56" s="564">
        <f>N303</f>
        <v>20</v>
      </c>
      <c r="L56" s="121"/>
      <c r="M56" s="121"/>
    </row>
    <row r="57" spans="1:11" s="121" customFormat="1" ht="12" customHeight="1">
      <c r="A57" s="517"/>
      <c r="D57" s="177" t="s">
        <v>323</v>
      </c>
      <c r="F57" s="177" t="s">
        <v>324</v>
      </c>
      <c r="H57" s="405"/>
      <c r="I57" s="452"/>
      <c r="J57" s="406"/>
      <c r="K57" s="564">
        <f>N317</f>
        <v>20</v>
      </c>
    </row>
    <row r="58" spans="1:13" s="29" customFormat="1" ht="13.5" customHeight="1">
      <c r="A58" s="518" t="s">
        <v>296</v>
      </c>
      <c r="B58" s="194"/>
      <c r="C58" s="194" t="s">
        <v>295</v>
      </c>
      <c r="D58" s="404">
        <f>B49</f>
        <v>45756035.0954</v>
      </c>
      <c r="F58" s="507">
        <f>D58/1936.27</f>
        <v>23631.02</v>
      </c>
      <c r="G58" s="506" t="s">
        <v>147</v>
      </c>
      <c r="H58" s="210" t="str">
        <f>$I$38</f>
        <v>15 - 20</v>
      </c>
      <c r="I58" s="437"/>
      <c r="J58" s="406"/>
      <c r="K58" s="564">
        <f>N332</f>
        <v>20</v>
      </c>
      <c r="L58" s="121"/>
      <c r="M58" s="121"/>
    </row>
    <row r="59" spans="1:13" s="29" customFormat="1" ht="13.5" customHeight="1" thickBot="1">
      <c r="A59" s="518" t="s">
        <v>297</v>
      </c>
      <c r="B59" s="194"/>
      <c r="C59" s="194"/>
      <c r="D59" s="472">
        <f>647.79*1936.27</f>
        <v>1254296.3432999998</v>
      </c>
      <c r="F59" s="510">
        <f>D59/1936.27</f>
        <v>647.79</v>
      </c>
      <c r="G59" s="210"/>
      <c r="H59" s="128"/>
      <c r="I59" s="437"/>
      <c r="J59" s="406"/>
      <c r="K59" s="564">
        <f>N347</f>
        <v>21</v>
      </c>
      <c r="L59" s="121"/>
      <c r="M59" s="121"/>
    </row>
    <row r="60" spans="1:13" s="29" customFormat="1" ht="13.5" customHeight="1" thickTop="1">
      <c r="A60" s="519" t="s">
        <v>189</v>
      </c>
      <c r="D60" s="404">
        <f>SUM(D58:D59)</f>
        <v>47010331.4387</v>
      </c>
      <c r="F60" s="507">
        <f>SUM(F58:F59)</f>
        <v>24278.81</v>
      </c>
      <c r="G60" s="459"/>
      <c r="H60" s="505" t="s">
        <v>325</v>
      </c>
      <c r="I60" s="508">
        <f>D60/12</f>
        <v>3917527.6198916663</v>
      </c>
      <c r="J60" s="406"/>
      <c r="K60" s="564">
        <f>N362</f>
        <v>22</v>
      </c>
      <c r="L60" s="121"/>
      <c r="M60" s="121"/>
    </row>
    <row r="61" spans="1:13" s="29" customFormat="1" ht="13.5" customHeight="1" thickBot="1">
      <c r="A61" s="520"/>
      <c r="B61" s="521"/>
      <c r="C61" s="521"/>
      <c r="D61" s="521"/>
      <c r="E61" s="522"/>
      <c r="F61" s="523"/>
      <c r="G61" s="524"/>
      <c r="H61" s="525" t="s">
        <v>326</v>
      </c>
      <c r="I61" s="509">
        <f>F60/12</f>
        <v>2023.2341666666669</v>
      </c>
      <c r="J61" s="406"/>
      <c r="K61" s="564">
        <f>N377</f>
        <v>22</v>
      </c>
      <c r="L61" s="121"/>
      <c r="M61" s="121"/>
    </row>
    <row r="62" spans="1:13" s="29" customFormat="1" ht="13.5" customHeight="1" hidden="1">
      <c r="A62" s="29">
        <f>IF(D65=C64,$A$4,2)</f>
        <v>2</v>
      </c>
      <c r="D62" s="212">
        <f>IF(D65=C64,F66,2)</f>
        <v>2</v>
      </c>
      <c r="E62" s="267">
        <f>IF(D65=C64,C64,2)</f>
        <v>2</v>
      </c>
      <c r="F62" s="29">
        <f>IF(C64=D65,$E$4,2)</f>
        <v>2</v>
      </c>
      <c r="I62" s="453"/>
      <c r="J62" s="217"/>
      <c r="K62" s="562"/>
      <c r="L62" s="121"/>
      <c r="M62" s="121"/>
    </row>
    <row r="63" spans="1:13" s="29" customFormat="1" ht="13.5" customHeight="1" hidden="1" thickBot="1">
      <c r="A63" s="268" t="s">
        <v>98</v>
      </c>
      <c r="B63" s="162">
        <f>F66</f>
        <v>15</v>
      </c>
      <c r="C63" s="248"/>
      <c r="D63" s="199" t="s">
        <v>162</v>
      </c>
      <c r="E63" s="170">
        <f>IF(B63&lt;3,0,IF(B63&lt;9,3,IF(B63&lt;15,9,IF(B63&lt;21,15,IF(B63&lt;28,21,IF(B63&lt;35,28,IF(B63&lt;40,35)))))))</f>
        <v>15</v>
      </c>
      <c r="F63" s="161">
        <f>IF(E63&lt;3,2,IF(E63&lt;9,3,IF(E63&lt;15,4,IF(E63&lt;21,5,IF(E63&lt;28,6,IF(E63&lt;35,7,IF(E63&lt;40,8)))))))</f>
        <v>5</v>
      </c>
      <c r="G63" s="200" t="s">
        <v>201</v>
      </c>
      <c r="H63" s="433"/>
      <c r="I63" s="437"/>
      <c r="J63" s="406"/>
      <c r="K63" s="562"/>
      <c r="L63" s="121"/>
      <c r="M63" s="121"/>
    </row>
    <row r="64" spans="1:13" s="180" customFormat="1" ht="13.5" customHeight="1" hidden="1">
      <c r="A64" s="138" t="s">
        <v>140</v>
      </c>
      <c r="B64" s="139">
        <f>C56</f>
        <v>37826</v>
      </c>
      <c r="C64" s="139">
        <f>IF(D65&gt;C56,B64,D65)</f>
        <v>37826</v>
      </c>
      <c r="D64" s="269"/>
      <c r="E64" s="122">
        <f>IF(B64&gt;1,DAYS360(B64,C64),0)</f>
        <v>0</v>
      </c>
      <c r="F64" s="201">
        <f>INT(E64/360)</f>
        <v>0</v>
      </c>
      <c r="G64" s="202">
        <f>INT(INT(E64-(F64*360))/30)</f>
        <v>0</v>
      </c>
      <c r="H64" s="434">
        <f>E64-(F64*360)-(G64*30)</f>
        <v>0</v>
      </c>
      <c r="I64" s="454"/>
      <c r="J64" s="555"/>
      <c r="K64" s="562"/>
      <c r="L64" s="406"/>
      <c r="M64" s="406"/>
    </row>
    <row r="65" spans="1:13" s="180" customFormat="1" ht="13.5" customHeight="1" hidden="1">
      <c r="A65" s="166"/>
      <c r="B65" s="166"/>
      <c r="C65" s="270" t="s">
        <v>270</v>
      </c>
      <c r="D65" s="271">
        <f>$E$53</f>
        <v>39715</v>
      </c>
      <c r="E65" s="29"/>
      <c r="F65" s="125"/>
      <c r="G65" s="125"/>
      <c r="H65" s="29"/>
      <c r="I65" s="454"/>
      <c r="J65" s="555"/>
      <c r="K65" s="562"/>
      <c r="L65" s="406"/>
      <c r="M65" s="406"/>
    </row>
    <row r="66" spans="1:13" s="180" customFormat="1" ht="13.5" customHeight="1" hidden="1">
      <c r="A66" s="156" t="s">
        <v>269</v>
      </c>
      <c r="B66" s="153"/>
      <c r="C66" s="153"/>
      <c r="D66" s="232">
        <f>C64</f>
        <v>37826</v>
      </c>
      <c r="E66" s="204">
        <f>H41+E64+1</f>
        <v>5701</v>
      </c>
      <c r="F66" s="201">
        <f>INT(E66/360)</f>
        <v>15</v>
      </c>
      <c r="G66" s="202">
        <f>INT(INT(E66-(F66*360))/30)</f>
        <v>10</v>
      </c>
      <c r="H66" s="434">
        <f>E66-(F66*360)-(G66*30)</f>
        <v>1</v>
      </c>
      <c r="I66" s="454"/>
      <c r="J66" s="555"/>
      <c r="K66" s="562"/>
      <c r="L66" s="406"/>
      <c r="M66" s="406"/>
    </row>
    <row r="67" spans="1:13" s="180" customFormat="1" ht="13.5" customHeight="1" hidden="1">
      <c r="A67" s="156"/>
      <c r="B67" s="153"/>
      <c r="C67" s="153"/>
      <c r="D67" s="153"/>
      <c r="E67" s="204"/>
      <c r="F67" s="127"/>
      <c r="G67" s="128"/>
      <c r="H67" s="128"/>
      <c r="I67" s="454"/>
      <c r="J67" s="555"/>
      <c r="K67" s="562"/>
      <c r="L67" s="406"/>
      <c r="M67" s="406"/>
    </row>
    <row r="68" spans="1:13" s="180" customFormat="1" ht="13.5" customHeight="1" hidden="1">
      <c r="A68" s="156" t="s">
        <v>268</v>
      </c>
      <c r="B68" s="153"/>
      <c r="C68" s="232">
        <f>C64</f>
        <v>37826</v>
      </c>
      <c r="D68" s="153"/>
      <c r="E68" s="204"/>
      <c r="F68" s="127"/>
      <c r="G68" s="128"/>
      <c r="H68" s="128"/>
      <c r="I68" s="454"/>
      <c r="J68" s="555"/>
      <c r="K68" s="562"/>
      <c r="L68" s="406"/>
      <c r="M68" s="406"/>
    </row>
    <row r="69" spans="1:13" s="180" customFormat="1" ht="13.5" customHeight="1" hidden="1">
      <c r="A69" s="156" t="s">
        <v>237</v>
      </c>
      <c r="B69" s="156"/>
      <c r="C69" s="156" t="str">
        <f>IF($D$73&lt;$B$48,"4/8/95",IF($D$73&lt;$C$48,"4/8/95",IF($D$73&lt;$D$48,"1/8/96",IF(D$73&lt;$J$48,"1/8/96",""))))</f>
        <v>4/8/95</v>
      </c>
      <c r="D69" s="29"/>
      <c r="E69" s="265">
        <f>IF(C68&gt;C56,HLOOKUP(B7,TAB!B135:I142,F63),0)</f>
        <v>0</v>
      </c>
      <c r="F69" s="210" t="s">
        <v>152</v>
      </c>
      <c r="G69" s="181" t="str">
        <f>IF(E63=0,"0 - 2",IF(E63=3,"3 - 8",IF(E63=9,"9 - 14",IF(E63=15,"15 - 20",IF(E63=21,"21 - 27",IF(E63=28,"28 - 35",IF(E63=35,"35")))))))</f>
        <v>15 - 20</v>
      </c>
      <c r="H69" s="128"/>
      <c r="I69" s="454"/>
      <c r="J69" s="555"/>
      <c r="K69" s="562"/>
      <c r="L69" s="406"/>
      <c r="M69" s="406"/>
    </row>
    <row r="70" spans="1:13" s="180" customFormat="1" ht="13.5" customHeight="1" hidden="1" thickBot="1">
      <c r="A70" s="156" t="s">
        <v>267</v>
      </c>
      <c r="B70" s="156"/>
      <c r="C70" s="156" t="str">
        <f>IF($C$37&lt;$B$48,"1/8/96",IF($C$37&lt;$C$48,"1/8/96",IF($C$37&lt;$D$48,"26/5/99",IF($C$37&lt;$J$48,"26/5/99",""))))</f>
        <v>26/5/99</v>
      </c>
      <c r="D70" s="272">
        <f>IF(C68&gt;C56,HLOOKUP(B7,TAB!B157:I164,F63),0)</f>
        <v>0</v>
      </c>
      <c r="E70" s="266">
        <f>D70*12</f>
        <v>0</v>
      </c>
      <c r="F70" s="210"/>
      <c r="G70" s="210"/>
      <c r="H70" s="128"/>
      <c r="I70" s="454"/>
      <c r="J70" s="555"/>
      <c r="K70" s="562"/>
      <c r="L70" s="406"/>
      <c r="M70" s="406"/>
    </row>
    <row r="71" spans="1:13" s="180" customFormat="1" ht="13.5" customHeight="1" hidden="1" thickTop="1">
      <c r="A71" s="195" t="s">
        <v>189</v>
      </c>
      <c r="B71" s="29"/>
      <c r="C71" s="29"/>
      <c r="D71" s="29"/>
      <c r="E71" s="196">
        <f>SUM(E69:E70)</f>
        <v>0</v>
      </c>
      <c r="F71" s="197" t="s">
        <v>220</v>
      </c>
      <c r="G71" s="459">
        <f>E71/1936.27</f>
        <v>0</v>
      </c>
      <c r="H71" s="198" t="s">
        <v>75</v>
      </c>
      <c r="I71" s="436">
        <f>E71/12</f>
        <v>0</v>
      </c>
      <c r="J71" s="555"/>
      <c r="K71" s="562"/>
      <c r="L71" s="406"/>
      <c r="M71" s="406"/>
    </row>
    <row r="72" spans="2:13" s="180" customFormat="1" ht="13.5" customHeight="1" hidden="1">
      <c r="B72" s="216"/>
      <c r="C72" s="216"/>
      <c r="D72" s="216"/>
      <c r="E72" s="273"/>
      <c r="F72" s="215"/>
      <c r="G72" s="216"/>
      <c r="H72" s="216"/>
      <c r="I72" s="454"/>
      <c r="J72" s="555"/>
      <c r="K72" s="562"/>
      <c r="L72" s="406"/>
      <c r="M72" s="406"/>
    </row>
    <row r="73" spans="1:13" s="29" customFormat="1" ht="13.5" customHeight="1" hidden="1">
      <c r="A73" s="29">
        <f>IF(D76=C75,$A$4,2)</f>
        <v>2</v>
      </c>
      <c r="D73" s="212">
        <f>IF(D76=C75,F77,2)</f>
        <v>2</v>
      </c>
      <c r="E73" s="267">
        <f>IF(D76=C75,C75,2)</f>
        <v>2</v>
      </c>
      <c r="F73" s="29">
        <f>IF(C75=D76,$E$4,2)</f>
        <v>2</v>
      </c>
      <c r="I73" s="453"/>
      <c r="J73" s="217"/>
      <c r="K73" s="562"/>
      <c r="L73" s="121"/>
      <c r="M73" s="121"/>
    </row>
    <row r="74" spans="1:13" s="180" customFormat="1" ht="13.5" customHeight="1" hidden="1" thickBot="1">
      <c r="A74" s="268" t="s">
        <v>98</v>
      </c>
      <c r="B74" s="162">
        <f>F77</f>
        <v>15</v>
      </c>
      <c r="C74" s="248"/>
      <c r="D74" s="199" t="s">
        <v>162</v>
      </c>
      <c r="E74" s="170">
        <f>IF(B74&lt;3,0,IF(B74&lt;9,3,IF(B74&lt;15,9,IF(B74&lt;21,15,IF(B74&lt;28,21,IF(B74&lt;35,28,IF(B74&lt;40,35)))))))</f>
        <v>15</v>
      </c>
      <c r="F74" s="161">
        <f>IF(E74&lt;3,2,IF(E74&lt;9,3,IF(E74&lt;15,4,IF(E74&lt;21,5,IF(E74&lt;28,6,IF(E74&lt;35,7,IF(E74&lt;40,8)))))))</f>
        <v>5</v>
      </c>
      <c r="G74" s="200" t="s">
        <v>201</v>
      </c>
      <c r="H74" s="433"/>
      <c r="I74" s="438"/>
      <c r="J74" s="556"/>
      <c r="K74" s="562"/>
      <c r="L74" s="406"/>
      <c r="M74" s="406"/>
    </row>
    <row r="75" spans="1:13" s="180" customFormat="1" ht="13.5" customHeight="1" hidden="1">
      <c r="A75" s="138" t="s">
        <v>140</v>
      </c>
      <c r="B75" s="139">
        <f>IF(E64=0,C56,C64)</f>
        <v>37826</v>
      </c>
      <c r="C75" s="139">
        <f>IF(C76&lt;C56,B75,IF($F$54&gt;C76,C76,F54))</f>
        <v>37826</v>
      </c>
      <c r="D75" s="269"/>
      <c r="E75" s="122">
        <f>IF(B75&gt;1,DAYS360(B75,C75),0)</f>
        <v>0</v>
      </c>
      <c r="F75" s="201">
        <f>INT(E75/360)</f>
        <v>0</v>
      </c>
      <c r="G75" s="202">
        <f>INT(INT(E75-(F75*360))/30)</f>
        <v>0</v>
      </c>
      <c r="H75" s="434">
        <f>E75-(F75*360)-(G75*30)</f>
        <v>0</v>
      </c>
      <c r="I75" s="453"/>
      <c r="J75" s="557"/>
      <c r="K75" s="562"/>
      <c r="L75" s="406"/>
      <c r="M75" s="406"/>
    </row>
    <row r="76" spans="1:13" s="180" customFormat="1" ht="13.5" customHeight="1" hidden="1">
      <c r="A76" s="166"/>
      <c r="B76" s="166"/>
      <c r="C76" s="274">
        <v>35370</v>
      </c>
      <c r="D76" s="271">
        <f>$E$53</f>
        <v>39715</v>
      </c>
      <c r="E76" s="29"/>
      <c r="F76" s="29"/>
      <c r="G76" s="29"/>
      <c r="H76" s="29"/>
      <c r="I76" s="453"/>
      <c r="J76" s="557"/>
      <c r="K76" s="562"/>
      <c r="L76" s="406"/>
      <c r="M76" s="406"/>
    </row>
    <row r="77" spans="1:13" s="180" customFormat="1" ht="13.5" customHeight="1" hidden="1">
      <c r="A77" s="156" t="s">
        <v>269</v>
      </c>
      <c r="B77" s="153"/>
      <c r="C77" s="153"/>
      <c r="D77" s="232">
        <f>C75</f>
        <v>37826</v>
      </c>
      <c r="E77" s="204">
        <f>E66+E75+1</f>
        <v>5702</v>
      </c>
      <c r="F77" s="201">
        <f>INT(E77/360)</f>
        <v>15</v>
      </c>
      <c r="G77" s="202">
        <f>INT(INT(E77-(F77*360))/30)</f>
        <v>10</v>
      </c>
      <c r="H77" s="434">
        <f>E77-(F77*360)-(G77*30)</f>
        <v>2</v>
      </c>
      <c r="I77" s="453"/>
      <c r="J77" s="557"/>
      <c r="K77" s="562"/>
      <c r="L77" s="406"/>
      <c r="M77" s="406"/>
    </row>
    <row r="78" spans="1:13" s="180" customFormat="1" ht="13.5" customHeight="1" hidden="1">
      <c r="A78" s="156"/>
      <c r="B78" s="153"/>
      <c r="C78" s="153"/>
      <c r="D78" s="153"/>
      <c r="E78" s="204"/>
      <c r="F78" s="127"/>
      <c r="G78" s="128"/>
      <c r="H78" s="128"/>
      <c r="I78" s="453"/>
      <c r="J78" s="557"/>
      <c r="K78" s="562"/>
      <c r="L78" s="406"/>
      <c r="M78" s="406"/>
    </row>
    <row r="79" spans="1:13" s="180" customFormat="1" ht="13.5" customHeight="1" hidden="1">
      <c r="A79" s="156" t="s">
        <v>268</v>
      </c>
      <c r="B79" s="153"/>
      <c r="C79" s="232">
        <f>C75</f>
        <v>37826</v>
      </c>
      <c r="D79" s="153"/>
      <c r="E79" s="204"/>
      <c r="F79" s="127"/>
      <c r="G79" s="128"/>
      <c r="H79" s="128"/>
      <c r="I79" s="453"/>
      <c r="J79" s="557"/>
      <c r="K79" s="562"/>
      <c r="L79" s="406"/>
      <c r="M79" s="406"/>
    </row>
    <row r="80" spans="1:13" s="29" customFormat="1" ht="13.5" customHeight="1" hidden="1">
      <c r="A80" s="156" t="s">
        <v>237</v>
      </c>
      <c r="B80" s="156"/>
      <c r="C80" s="156" t="str">
        <f>IF($D$73&lt;$B$48,"4/8/95",IF($D$73&lt;$C$48,"4/8/95",IF($D$73&lt;$D$48,"1/8/96",IF($D$73&lt;$J$48,"1/8/96",""))))</f>
        <v>4/8/95</v>
      </c>
      <c r="E80" s="265">
        <f>IF(C79&gt;C68,HLOOKUP($B$7,TAB!B135:I142,F74),0)</f>
        <v>0</v>
      </c>
      <c r="F80" s="210" t="s">
        <v>152</v>
      </c>
      <c r="G80" s="181" t="str">
        <f>IF(E74=0,"0 - 2",IF(E74=3,"3 - 8",IF(E74=9,"9 - 14",IF(E74=15,"15 - 20",IF(E74=21,"21 - 27",IF(E74=28,"28 - 35",IF(E74=35,"35")))))))</f>
        <v>15 - 20</v>
      </c>
      <c r="H80" s="128"/>
      <c r="I80" s="437"/>
      <c r="J80" s="406"/>
      <c r="K80" s="562"/>
      <c r="L80" s="121"/>
      <c r="M80" s="121"/>
    </row>
    <row r="81" spans="1:13" s="29" customFormat="1" ht="13.5" customHeight="1" hidden="1" thickBot="1">
      <c r="A81" s="156" t="s">
        <v>288</v>
      </c>
      <c r="B81" s="156"/>
      <c r="C81" s="156" t="str">
        <f>IF($C$37&lt;$B$48,"1/8/96",IF($C$37&lt;$C$48,"1/8/96",IF($C$37&lt;$D$48,"26/5/99",IF($C$37&lt;$J$48,"26/5/99",""))))</f>
        <v>26/5/99</v>
      </c>
      <c r="D81" s="272">
        <f>IF(C79&gt;C68,HLOOKUP($B$7,TAB!B178:I185,F74),0)</f>
        <v>0</v>
      </c>
      <c r="E81" s="266">
        <f>D81*12</f>
        <v>0</v>
      </c>
      <c r="F81" s="210"/>
      <c r="G81" s="210"/>
      <c r="H81" s="128"/>
      <c r="I81" s="437"/>
      <c r="J81" s="406"/>
      <c r="K81" s="562"/>
      <c r="L81" s="121"/>
      <c r="M81" s="121"/>
    </row>
    <row r="82" spans="1:13" s="29" customFormat="1" ht="13.5" customHeight="1" hidden="1" thickTop="1">
      <c r="A82" s="195" t="s">
        <v>189</v>
      </c>
      <c r="E82" s="196">
        <f>SUM(E80:E81)</f>
        <v>0</v>
      </c>
      <c r="F82" s="197" t="s">
        <v>220</v>
      </c>
      <c r="G82" s="459">
        <f>E82/1936.27</f>
        <v>0</v>
      </c>
      <c r="H82" s="198" t="s">
        <v>75</v>
      </c>
      <c r="I82" s="436">
        <f>E82/12</f>
        <v>0</v>
      </c>
      <c r="J82" s="406"/>
      <c r="K82" s="562"/>
      <c r="L82" s="121"/>
      <c r="M82" s="121"/>
    </row>
    <row r="83" spans="1:13" s="29" customFormat="1" ht="13.5" customHeight="1" hidden="1">
      <c r="A83" s="180"/>
      <c r="B83" s="216"/>
      <c r="C83" s="216"/>
      <c r="D83" s="216"/>
      <c r="E83" s="273"/>
      <c r="F83" s="215"/>
      <c r="G83" s="216"/>
      <c r="H83" s="216"/>
      <c r="I83" s="437"/>
      <c r="J83" s="406"/>
      <c r="K83" s="562"/>
      <c r="L83" s="121"/>
      <c r="M83" s="121"/>
    </row>
    <row r="84" spans="1:13" s="29" customFormat="1" ht="13.5" customHeight="1" hidden="1">
      <c r="A84" s="29">
        <f>IF(D87=C86,$A$4,2)</f>
        <v>2</v>
      </c>
      <c r="D84" s="212">
        <f>IF(D87=C86,F88,2)</f>
        <v>2</v>
      </c>
      <c r="E84" s="267">
        <f>IF(D87=C86,C86,2)</f>
        <v>2</v>
      </c>
      <c r="F84" s="29">
        <f>IF(C86=D87,$E$4,2)</f>
        <v>2</v>
      </c>
      <c r="I84" s="453"/>
      <c r="J84" s="217"/>
      <c r="K84" s="562"/>
      <c r="L84" s="121"/>
      <c r="M84" s="121"/>
    </row>
    <row r="85" spans="1:13" s="29" customFormat="1" ht="13.5" customHeight="1" hidden="1" thickBot="1">
      <c r="A85" s="268" t="s">
        <v>98</v>
      </c>
      <c r="B85" s="162">
        <f>F88</f>
        <v>15</v>
      </c>
      <c r="C85" s="248"/>
      <c r="D85" s="199" t="s">
        <v>162</v>
      </c>
      <c r="E85" s="170">
        <f>IF(B85&lt;3,0,IF(B85&lt;9,3,IF(B85&lt;15,9,IF(B85&lt;21,15,IF(B85&lt;28,21,IF(B85&lt;35,28,IF(B85&lt;40,35)))))))</f>
        <v>15</v>
      </c>
      <c r="F85" s="161">
        <f>IF(E85&lt;3,2,IF(E85&lt;9,3,IF(E85&lt;15,4,IF(E85&lt;21,5,IF(E85&lt;28,6,IF(E85&lt;35,7,IF(E85&lt;40,8)))))))</f>
        <v>5</v>
      </c>
      <c r="G85" s="200" t="s">
        <v>201</v>
      </c>
      <c r="H85" s="433"/>
      <c r="I85" s="437"/>
      <c r="J85" s="121"/>
      <c r="K85" s="562"/>
      <c r="L85" s="121"/>
      <c r="M85" s="121"/>
    </row>
    <row r="86" spans="1:13" s="29" customFormat="1" ht="13.5" customHeight="1" hidden="1">
      <c r="A86" s="138" t="s">
        <v>140</v>
      </c>
      <c r="B86" s="139">
        <f>C75</f>
        <v>37826</v>
      </c>
      <c r="C86" s="139">
        <f>IF(AND(D87&gt;C76,D87&lt;C98),D87,B86)</f>
        <v>37826</v>
      </c>
      <c r="D86" s="269"/>
      <c r="E86" s="122">
        <f>IF(B86&gt;1,DAYS360(B86,C86),0)</f>
        <v>0</v>
      </c>
      <c r="F86" s="201">
        <f>INT(E86/360)</f>
        <v>0</v>
      </c>
      <c r="G86" s="202">
        <f>INT(INT(E86-(F86*360))/30)</f>
        <v>0</v>
      </c>
      <c r="H86" s="434">
        <f>E86-(F86*360)-(G86*30)</f>
        <v>0</v>
      </c>
      <c r="I86" s="453"/>
      <c r="J86" s="217"/>
      <c r="K86" s="562"/>
      <c r="L86" s="121"/>
      <c r="M86" s="121"/>
    </row>
    <row r="87" spans="1:13" s="29" customFormat="1" ht="13.5" customHeight="1" hidden="1">
      <c r="A87" s="166"/>
      <c r="B87" s="166"/>
      <c r="C87" s="155" t="s">
        <v>270</v>
      </c>
      <c r="D87" s="271">
        <f>$E$53</f>
        <v>39715</v>
      </c>
      <c r="I87" s="438"/>
      <c r="J87" s="556"/>
      <c r="K87" s="562"/>
      <c r="L87" s="121"/>
      <c r="M87" s="121"/>
    </row>
    <row r="88" spans="1:13" s="29" customFormat="1" ht="13.5" customHeight="1" hidden="1">
      <c r="A88" s="156" t="s">
        <v>269</v>
      </c>
      <c r="B88" s="153"/>
      <c r="C88" s="153"/>
      <c r="D88" s="232">
        <f>C86</f>
        <v>37826</v>
      </c>
      <c r="E88" s="204">
        <f>E77+E86+1</f>
        <v>5703</v>
      </c>
      <c r="F88" s="201">
        <f>INT(E88/360)</f>
        <v>15</v>
      </c>
      <c r="G88" s="202">
        <f>INT(INT(E88-(F88*360))/30)</f>
        <v>10</v>
      </c>
      <c r="H88" s="434">
        <f>E88-(F88*360)-(G88*30)</f>
        <v>3</v>
      </c>
      <c r="I88" s="453"/>
      <c r="J88" s="217"/>
      <c r="K88" s="562"/>
      <c r="L88" s="121"/>
      <c r="M88" s="121"/>
    </row>
    <row r="89" spans="1:13" s="29" customFormat="1" ht="13.5" customHeight="1" hidden="1">
      <c r="A89" s="156"/>
      <c r="B89" s="153"/>
      <c r="C89" s="153"/>
      <c r="D89" s="153"/>
      <c r="E89" s="204"/>
      <c r="F89" s="127"/>
      <c r="G89" s="128"/>
      <c r="H89" s="128"/>
      <c r="I89" s="453"/>
      <c r="J89" s="217"/>
      <c r="K89" s="562"/>
      <c r="L89" s="121"/>
      <c r="M89" s="121"/>
    </row>
    <row r="90" spans="1:13" s="29" customFormat="1" ht="14.25" customHeight="1" hidden="1">
      <c r="A90" s="156" t="s">
        <v>268</v>
      </c>
      <c r="B90" s="153"/>
      <c r="C90" s="232">
        <f>C86</f>
        <v>37826</v>
      </c>
      <c r="D90" s="153"/>
      <c r="E90" s="204"/>
      <c r="F90" s="127"/>
      <c r="G90" s="128"/>
      <c r="H90" s="128"/>
      <c r="I90" s="453"/>
      <c r="J90" s="217"/>
      <c r="K90" s="562"/>
      <c r="L90" s="121"/>
      <c r="M90" s="121"/>
    </row>
    <row r="91" spans="1:13" s="29" customFormat="1" ht="14.25" customHeight="1" hidden="1">
      <c r="A91" s="156" t="s">
        <v>237</v>
      </c>
      <c r="B91" s="156"/>
      <c r="C91" s="156" t="str">
        <f>IF($D$73&lt;$B$48,"CCNL 4/8/95",IF($D$73&lt;$C$48,"CCNL 4/8/95",IF($D$73&lt;$D$48,"CCNL 1/8/96",IF($D$73&lt;$J$48,"CCNL 1/8/96",""))))</f>
        <v>CCNL 4/8/95</v>
      </c>
      <c r="E91" s="265">
        <f>IF(C90&gt;C79,HLOOKUP($B$7,TAB!B135:I142,F85),0)</f>
        <v>0</v>
      </c>
      <c r="F91" s="210" t="s">
        <v>152</v>
      </c>
      <c r="G91" s="181" t="str">
        <f>IF(E85=0,"0 - 2",IF(E85=3,"3 - 8",IF(E85=9,"9 - 14",IF(E85=15,"15 - 20",IF(E85=21,"21 - 27",IF(E85=28,"28 - 35",IF(E85=35,"35")))))))</f>
        <v>15 - 20</v>
      </c>
      <c r="H91" s="128"/>
      <c r="I91" s="453"/>
      <c r="J91" s="217"/>
      <c r="K91" s="562"/>
      <c r="L91" s="121"/>
      <c r="M91" s="121"/>
    </row>
    <row r="92" spans="1:13" s="29" customFormat="1" ht="13.5" customHeight="1" hidden="1" thickBot="1">
      <c r="A92" s="156" t="s">
        <v>267</v>
      </c>
      <c r="B92" s="156"/>
      <c r="C92" s="156" t="str">
        <f>IF($C$37&lt;$B$48,"CCNL 1/8/96",IF($C$37&lt;$C$48,"CCNL 1/8/96",IF($C$37&lt;$D$48,"CCNL 26/5/99",IF($C$37&lt;$J$48,"CCNL 26/5/99",""))))</f>
        <v>CCNL 26/5/99</v>
      </c>
      <c r="D92" s="272">
        <f>IF(C90&gt;C79,HLOOKUP($B$7,TAB!B178:I185,F85),0)</f>
        <v>0</v>
      </c>
      <c r="E92" s="266">
        <f>D92*12</f>
        <v>0</v>
      </c>
      <c r="F92" s="210"/>
      <c r="G92" s="210"/>
      <c r="H92" s="128"/>
      <c r="I92" s="453"/>
      <c r="J92" s="217"/>
      <c r="K92" s="562"/>
      <c r="L92" s="121"/>
      <c r="M92" s="121"/>
    </row>
    <row r="93" spans="1:13" s="29" customFormat="1" ht="13.5" customHeight="1" hidden="1" thickTop="1">
      <c r="A93" s="195" t="s">
        <v>189</v>
      </c>
      <c r="E93" s="196">
        <f>SUM(E91:E92)</f>
        <v>0</v>
      </c>
      <c r="F93" s="197" t="s">
        <v>220</v>
      </c>
      <c r="G93" s="459">
        <f>E93/1936.27</f>
        <v>0</v>
      </c>
      <c r="H93" s="198" t="s">
        <v>75</v>
      </c>
      <c r="I93" s="436">
        <f>E93/12</f>
        <v>0</v>
      </c>
      <c r="J93" s="121"/>
      <c r="K93" s="562"/>
      <c r="L93" s="121"/>
      <c r="M93" s="121"/>
    </row>
    <row r="94" spans="1:13" s="29" customFormat="1" ht="13.5" customHeight="1" hidden="1">
      <c r="A94" s="180"/>
      <c r="B94" s="216"/>
      <c r="C94" s="216"/>
      <c r="D94" s="216"/>
      <c r="E94" s="273"/>
      <c r="F94" s="215"/>
      <c r="G94" s="216"/>
      <c r="H94" s="216"/>
      <c r="I94" s="437"/>
      <c r="J94" s="121"/>
      <c r="K94" s="562"/>
      <c r="L94" s="121"/>
      <c r="M94" s="121"/>
    </row>
    <row r="95" spans="1:13" s="29" customFormat="1" ht="13.5" customHeight="1" hidden="1">
      <c r="A95" s="29">
        <f>IF(D98=C97,$A$4,2)</f>
        <v>2</v>
      </c>
      <c r="D95" s="212">
        <f>IF(D98=C97,F99,2)</f>
        <v>2</v>
      </c>
      <c r="E95" s="267">
        <f>IF(D98=C97,C97,2)</f>
        <v>2</v>
      </c>
      <c r="F95" s="29">
        <f>IF(C97=D98,$E$4,2)</f>
        <v>2</v>
      </c>
      <c r="I95" s="453"/>
      <c r="J95" s="217"/>
      <c r="K95" s="562"/>
      <c r="L95" s="121"/>
      <c r="M95" s="121"/>
    </row>
    <row r="96" spans="1:13" s="29" customFormat="1" ht="13.5" customHeight="1" hidden="1" thickBot="1">
      <c r="A96" s="268" t="s">
        <v>98</v>
      </c>
      <c r="B96" s="162">
        <f>F99</f>
        <v>15</v>
      </c>
      <c r="C96" s="248"/>
      <c r="D96" s="199" t="s">
        <v>162</v>
      </c>
      <c r="E96" s="170">
        <f>IF(B96&lt;3,0,IF(B96&lt;9,3,IF(B96&lt;15,9,IF(B96&lt;21,15,IF(B96&lt;28,21,IF(B96&lt;35,28,IF(B96&lt;40,35)))))))</f>
        <v>15</v>
      </c>
      <c r="F96" s="161">
        <f>IF(E96&lt;3,2,IF(E96&lt;9,3,IF(E96&lt;15,4,IF(E96&lt;21,5,IF(E96&lt;28,6,IF(E96&lt;35,7,IF(E96&lt;40,8)))))))</f>
        <v>5</v>
      </c>
      <c r="G96" s="200" t="s">
        <v>201</v>
      </c>
      <c r="H96" s="433"/>
      <c r="I96" s="437"/>
      <c r="J96" s="121"/>
      <c r="K96" s="562"/>
      <c r="L96" s="121"/>
      <c r="M96" s="121"/>
    </row>
    <row r="97" spans="1:13" s="29" customFormat="1" ht="13.5" customHeight="1" hidden="1">
      <c r="A97" s="138" t="s">
        <v>140</v>
      </c>
      <c r="B97" s="139">
        <f>IF(E86&gt;0,C86,C75)</f>
        <v>37826</v>
      </c>
      <c r="C97" s="139">
        <f>IF(C98&lt;C56,B97,C98)</f>
        <v>37826</v>
      </c>
      <c r="D97" s="269"/>
      <c r="E97" s="122">
        <f>IF(B97&gt;1,DAYS360(B97,C97),0)</f>
        <v>0</v>
      </c>
      <c r="F97" s="201">
        <f>INT(E97/360)</f>
        <v>0</v>
      </c>
      <c r="G97" s="202">
        <f>INT(INT(E97-(F97*360))/30)</f>
        <v>0</v>
      </c>
      <c r="H97" s="434">
        <f>E97-(F97*360)-(G97*30)</f>
        <v>0</v>
      </c>
      <c r="I97" s="453"/>
      <c r="J97" s="217"/>
      <c r="K97" s="562"/>
      <c r="L97" s="121"/>
      <c r="M97" s="121"/>
    </row>
    <row r="98" spans="1:13" s="29" customFormat="1" ht="13.5" customHeight="1" hidden="1">
      <c r="A98" s="166"/>
      <c r="B98" s="166"/>
      <c r="C98" s="274">
        <v>35612</v>
      </c>
      <c r="D98" s="271">
        <f>$E$53</f>
        <v>39715</v>
      </c>
      <c r="I98" s="453"/>
      <c r="J98" s="217"/>
      <c r="K98" s="562"/>
      <c r="L98" s="121"/>
      <c r="M98" s="121"/>
    </row>
    <row r="99" spans="1:13" s="29" customFormat="1" ht="13.5" customHeight="1" hidden="1">
      <c r="A99" s="156" t="s">
        <v>269</v>
      </c>
      <c r="B99" s="153"/>
      <c r="C99" s="153"/>
      <c r="D99" s="232">
        <f>C97</f>
        <v>37826</v>
      </c>
      <c r="E99" s="204">
        <f>E88+E97+1</f>
        <v>5704</v>
      </c>
      <c r="F99" s="201">
        <f>INT(E99/360)</f>
        <v>15</v>
      </c>
      <c r="G99" s="202">
        <f>INT(INT(E99-(F99*360))/30)</f>
        <v>10</v>
      </c>
      <c r="H99" s="434">
        <f>E99-(F99*360)-(G99*30)</f>
        <v>4</v>
      </c>
      <c r="I99" s="453"/>
      <c r="J99" s="217"/>
      <c r="K99" s="562"/>
      <c r="L99" s="121"/>
      <c r="M99" s="121"/>
    </row>
    <row r="100" spans="1:13" s="29" customFormat="1" ht="13.5" customHeight="1" hidden="1">
      <c r="A100" s="156"/>
      <c r="B100" s="153"/>
      <c r="C100" s="153"/>
      <c r="D100" s="153"/>
      <c r="E100" s="204"/>
      <c r="F100" s="127"/>
      <c r="G100" s="128"/>
      <c r="H100" s="128"/>
      <c r="I100" s="438"/>
      <c r="J100" s="556"/>
      <c r="K100" s="562"/>
      <c r="L100" s="121"/>
      <c r="M100" s="121"/>
    </row>
    <row r="101" spans="1:13" s="29" customFormat="1" ht="13.5" customHeight="1" hidden="1">
      <c r="A101" s="156" t="s">
        <v>268</v>
      </c>
      <c r="B101" s="153"/>
      <c r="C101" s="232">
        <f>C97</f>
        <v>37826</v>
      </c>
      <c r="D101" s="232" t="s">
        <v>205</v>
      </c>
      <c r="E101" s="204"/>
      <c r="F101" s="127"/>
      <c r="G101" s="128"/>
      <c r="H101" s="128"/>
      <c r="I101" s="453"/>
      <c r="J101" s="217"/>
      <c r="K101" s="562"/>
      <c r="L101" s="121"/>
      <c r="M101" s="121"/>
    </row>
    <row r="102" spans="1:13" s="29" customFormat="1" ht="13.5" customHeight="1" hidden="1">
      <c r="A102" s="156" t="s">
        <v>237</v>
      </c>
      <c r="B102" s="156"/>
      <c r="C102" s="275" t="s">
        <v>289</v>
      </c>
      <c r="E102" s="265">
        <f>IF(C101&gt;C90,HLOOKUP($B$7,TAB!B210:I217,F96),0)</f>
        <v>0</v>
      </c>
      <c r="F102" s="210" t="s">
        <v>152</v>
      </c>
      <c r="G102" s="181" t="str">
        <f>IF(E96=0,"0 - 2",IF(E96=3,"3 - 8",IF(E96=9,"9 - 14",IF(E96=15,"15 - 20",IF(E96=21,"21 - 27",IF(E96=28,"28 - 35",IF(E96=35,"35")))))))</f>
        <v>15 - 20</v>
      </c>
      <c r="H102" s="128"/>
      <c r="I102" s="453"/>
      <c r="J102" s="217"/>
      <c r="K102" s="562"/>
      <c r="L102" s="121"/>
      <c r="M102" s="121"/>
    </row>
    <row r="103" spans="1:13" s="29" customFormat="1" ht="14.25" customHeight="1" hidden="1" thickBot="1">
      <c r="A103" s="156"/>
      <c r="B103" s="156"/>
      <c r="C103" s="156"/>
      <c r="D103" s="272"/>
      <c r="E103" s="266"/>
      <c r="F103" s="210"/>
      <c r="G103" s="210"/>
      <c r="H103" s="128"/>
      <c r="I103" s="453"/>
      <c r="J103" s="217"/>
      <c r="K103" s="562"/>
      <c r="L103" s="121"/>
      <c r="M103" s="121"/>
    </row>
    <row r="104" spans="1:13" s="29" customFormat="1" ht="14.25" customHeight="1" hidden="1" thickTop="1">
      <c r="A104" s="195" t="s">
        <v>189</v>
      </c>
      <c r="E104" s="196">
        <f>SUM(E102:E103)</f>
        <v>0</v>
      </c>
      <c r="F104" s="197" t="s">
        <v>220</v>
      </c>
      <c r="G104" s="459">
        <f>E104/1936.27</f>
        <v>0</v>
      </c>
      <c r="H104" s="198" t="s">
        <v>75</v>
      </c>
      <c r="I104" s="436">
        <f>E104/12</f>
        <v>0</v>
      </c>
      <c r="J104" s="217"/>
      <c r="K104" s="562"/>
      <c r="L104" s="121"/>
      <c r="M104" s="121"/>
    </row>
    <row r="105" spans="1:13" s="29" customFormat="1" ht="14.25" customHeight="1" hidden="1">
      <c r="A105" s="180"/>
      <c r="B105" s="216"/>
      <c r="C105" s="216"/>
      <c r="D105" s="216"/>
      <c r="E105" s="273"/>
      <c r="F105" s="215"/>
      <c r="G105" s="216"/>
      <c r="H105" s="216"/>
      <c r="I105" s="453"/>
      <c r="J105" s="217"/>
      <c r="K105" s="562"/>
      <c r="L105" s="121"/>
      <c r="M105" s="121"/>
    </row>
    <row r="106" spans="1:13" s="29" customFormat="1" ht="13.5" customHeight="1" hidden="1">
      <c r="A106" s="29">
        <f>IF(D109=C108,$A$4,2)</f>
        <v>2</v>
      </c>
      <c r="D106" s="212">
        <f>IF(D109=C108,F110,2)</f>
        <v>2</v>
      </c>
      <c r="E106" s="267">
        <f>IF(D109=C108,C108,2)</f>
        <v>2</v>
      </c>
      <c r="F106" s="29">
        <f>IF(C108=D109,$E$4,2)</f>
        <v>2</v>
      </c>
      <c r="I106" s="453"/>
      <c r="J106" s="217"/>
      <c r="K106" s="562"/>
      <c r="L106" s="121"/>
      <c r="M106" s="121"/>
    </row>
    <row r="107" spans="1:13" s="29" customFormat="1" ht="14.25" customHeight="1" hidden="1" thickBot="1">
      <c r="A107" s="268" t="s">
        <v>98</v>
      </c>
      <c r="B107" s="162">
        <f>F110</f>
        <v>15</v>
      </c>
      <c r="C107" s="248"/>
      <c r="D107" s="199" t="s">
        <v>162</v>
      </c>
      <c r="E107" s="170">
        <f>IF(B107&lt;3,0,IF(B107&lt;9,3,IF(B107&lt;15,9,IF(B107&lt;21,15,IF(B107&lt;28,21,IF(B107&lt;35,28,IF(B107&lt;40,35)))))))</f>
        <v>15</v>
      </c>
      <c r="F107" s="161">
        <f>IF(E107&lt;3,2,IF(E107&lt;9,3,IF(E107&lt;15,4,IF(E107&lt;21,5,IF(E107&lt;28,6,IF(E107&lt;35,7,IF(E107&lt;40,8)))))))</f>
        <v>5</v>
      </c>
      <c r="G107" s="200" t="s">
        <v>201</v>
      </c>
      <c r="H107" s="433"/>
      <c r="I107" s="453"/>
      <c r="J107" s="217"/>
      <c r="K107" s="562"/>
      <c r="L107" s="121"/>
      <c r="M107" s="121"/>
    </row>
    <row r="108" spans="1:13" s="29" customFormat="1" ht="14.25" customHeight="1" hidden="1">
      <c r="A108" s="138" t="s">
        <v>140</v>
      </c>
      <c r="B108" s="139">
        <f>C97</f>
        <v>37826</v>
      </c>
      <c r="C108" s="139">
        <f>IF(AND(D109&gt;C98,D109&lt;C120),D109,B108)</f>
        <v>37826</v>
      </c>
      <c r="D108" s="269"/>
      <c r="E108" s="122">
        <f>IF(B108&gt;1,DAYS360(B108,C108),0)</f>
        <v>0</v>
      </c>
      <c r="F108" s="201">
        <f>INT(E108/360)</f>
        <v>0</v>
      </c>
      <c r="G108" s="202">
        <f>INT(INT(E108-(F108*360))/30)</f>
        <v>0</v>
      </c>
      <c r="H108" s="434">
        <f>E108-(F108*360)-(G108*30)</f>
        <v>0</v>
      </c>
      <c r="I108" s="453"/>
      <c r="J108" s="217"/>
      <c r="K108" s="562"/>
      <c r="L108" s="121"/>
      <c r="M108" s="121"/>
    </row>
    <row r="109" spans="1:13" s="29" customFormat="1" ht="14.25" customHeight="1" hidden="1">
      <c r="A109" s="166"/>
      <c r="B109" s="166"/>
      <c r="C109" s="155" t="s">
        <v>270</v>
      </c>
      <c r="D109" s="271">
        <f>$E$53</f>
        <v>39715</v>
      </c>
      <c r="I109" s="453"/>
      <c r="J109" s="217"/>
      <c r="K109" s="562"/>
      <c r="L109" s="121"/>
      <c r="M109" s="121"/>
    </row>
    <row r="110" spans="1:13" s="29" customFormat="1" ht="14.25" customHeight="1" hidden="1">
      <c r="A110" s="156" t="s">
        <v>269</v>
      </c>
      <c r="B110" s="153"/>
      <c r="C110" s="153"/>
      <c r="D110" s="232">
        <f>C108</f>
        <v>37826</v>
      </c>
      <c r="E110" s="204">
        <f>E99+E108+1</f>
        <v>5705</v>
      </c>
      <c r="F110" s="201">
        <f>INT(E110/360)</f>
        <v>15</v>
      </c>
      <c r="G110" s="202">
        <f>INT(INT(E110-(F110*360))/30)</f>
        <v>10</v>
      </c>
      <c r="H110" s="434">
        <f>E110-(F110*360)-(G110*30)</f>
        <v>5</v>
      </c>
      <c r="I110" s="453"/>
      <c r="J110" s="217"/>
      <c r="K110" s="562"/>
      <c r="L110" s="121"/>
      <c r="M110" s="121"/>
    </row>
    <row r="111" spans="1:13" s="29" customFormat="1" ht="13.5" customHeight="1" hidden="1">
      <c r="A111" s="156"/>
      <c r="B111" s="153"/>
      <c r="C111" s="153"/>
      <c r="D111" s="153"/>
      <c r="E111" s="204"/>
      <c r="F111" s="127"/>
      <c r="G111" s="128"/>
      <c r="H111" s="128"/>
      <c r="I111" s="454"/>
      <c r="J111" s="555"/>
      <c r="K111" s="562"/>
      <c r="L111" s="121"/>
      <c r="M111" s="121"/>
    </row>
    <row r="112" spans="1:13" s="29" customFormat="1" ht="13.5" customHeight="1" hidden="1">
      <c r="A112" s="156" t="s">
        <v>268</v>
      </c>
      <c r="B112" s="153"/>
      <c r="C112" s="232">
        <f>C108</f>
        <v>37826</v>
      </c>
      <c r="D112" s="153"/>
      <c r="E112" s="204"/>
      <c r="F112" s="127"/>
      <c r="G112" s="128"/>
      <c r="H112" s="128"/>
      <c r="I112" s="453"/>
      <c r="J112" s="217"/>
      <c r="K112" s="562"/>
      <c r="L112" s="121"/>
      <c r="M112" s="121"/>
    </row>
    <row r="113" spans="1:13" s="29" customFormat="1" ht="13.5" customHeight="1" hidden="1">
      <c r="A113" s="156" t="s">
        <v>237</v>
      </c>
      <c r="B113" s="156"/>
      <c r="C113" s="156" t="s">
        <v>158</v>
      </c>
      <c r="E113" s="265">
        <f>IF(C112&gt;C101,HLOOKUP($B$7,TAB!B210:I217,F107),0)</f>
        <v>0</v>
      </c>
      <c r="F113" s="210" t="s">
        <v>152</v>
      </c>
      <c r="G113" s="181" t="str">
        <f>IF(E107=0,"0 - 2",IF(E107=3,"3 - 8",IF(E107=9,"9 - 14",IF(E107=15,"15 - 20",IF(E107=21,"21 - 27",IF(E107=28,"28 - 35",IF(E107=35,"35")))))))</f>
        <v>15 - 20</v>
      </c>
      <c r="H113" s="128"/>
      <c r="I113" s="453"/>
      <c r="J113" s="217"/>
      <c r="K113" s="562"/>
      <c r="L113" s="121"/>
      <c r="M113" s="121"/>
    </row>
    <row r="114" spans="1:13" s="29" customFormat="1" ht="13.5" customHeight="1" hidden="1" thickBot="1">
      <c r="A114" s="156"/>
      <c r="B114" s="156"/>
      <c r="C114" s="156"/>
      <c r="D114" s="272"/>
      <c r="E114" s="266"/>
      <c r="F114" s="210"/>
      <c r="G114" s="210"/>
      <c r="H114" s="128"/>
      <c r="I114" s="453"/>
      <c r="J114" s="217"/>
      <c r="K114" s="562"/>
      <c r="L114" s="121"/>
      <c r="M114" s="121"/>
    </row>
    <row r="115" spans="1:13" s="29" customFormat="1" ht="14.25" customHeight="1" hidden="1" thickTop="1">
      <c r="A115" s="195" t="s">
        <v>189</v>
      </c>
      <c r="E115" s="196">
        <f>SUM(E113:E114)</f>
        <v>0</v>
      </c>
      <c r="F115" s="197" t="s">
        <v>220</v>
      </c>
      <c r="G115" s="459">
        <f>E115/1936.27</f>
        <v>0</v>
      </c>
      <c r="H115" s="198" t="s">
        <v>75</v>
      </c>
      <c r="I115" s="436">
        <f>E115/12</f>
        <v>0</v>
      </c>
      <c r="J115" s="217"/>
      <c r="K115" s="562"/>
      <c r="L115" s="121"/>
      <c r="M115" s="121"/>
    </row>
    <row r="116" spans="1:13" s="29" customFormat="1" ht="14.25" customHeight="1" hidden="1">
      <c r="A116" s="195"/>
      <c r="E116" s="196"/>
      <c r="F116" s="197"/>
      <c r="G116" s="198"/>
      <c r="I116" s="453"/>
      <c r="J116" s="217"/>
      <c r="K116" s="562"/>
      <c r="L116" s="121"/>
      <c r="M116" s="121"/>
    </row>
    <row r="117" spans="1:13" s="29" customFormat="1" ht="13.5" customHeight="1" hidden="1">
      <c r="A117" s="29">
        <f>IF(D120=C119,$A$4,2)</f>
        <v>2</v>
      </c>
      <c r="D117" s="219">
        <f>IF(D120=C119,F121,2)</f>
        <v>2</v>
      </c>
      <c r="E117" s="267">
        <f>IF(D120=C119,C119,2)</f>
        <v>2</v>
      </c>
      <c r="F117" s="29">
        <f>IF(C119=D120,$E$4,2)</f>
        <v>2</v>
      </c>
      <c r="I117" s="453"/>
      <c r="J117" s="217"/>
      <c r="K117" s="562"/>
      <c r="L117" s="121"/>
      <c r="M117" s="121"/>
    </row>
    <row r="118" spans="1:13" s="29" customFormat="1" ht="14.25" customHeight="1" hidden="1" thickBot="1">
      <c r="A118" s="268" t="s">
        <v>98</v>
      </c>
      <c r="B118" s="162">
        <f>F121</f>
        <v>15</v>
      </c>
      <c r="C118" s="248"/>
      <c r="D118" s="199" t="s">
        <v>162</v>
      </c>
      <c r="E118" s="170">
        <f>IF(B118&lt;3,0,IF(B118&lt;9,3,IF(B118&lt;15,9,IF(B118&lt;21,15,IF(B118&lt;28,21,IF(B118&lt;35,28,IF(B118&lt;40,35)))))))</f>
        <v>15</v>
      </c>
      <c r="F118" s="161">
        <f>IF(E118&lt;3,2,IF(E118&lt;9,3,IF(E118&lt;15,4,IF(E118&lt;21,5,IF(E118&lt;28,6,IF(E118&lt;35,7,IF(E118&lt;40,8)))))))</f>
        <v>5</v>
      </c>
      <c r="G118" s="200" t="s">
        <v>201</v>
      </c>
      <c r="H118" s="433"/>
      <c r="I118" s="453"/>
      <c r="J118" s="217"/>
      <c r="K118" s="562"/>
      <c r="L118" s="121"/>
      <c r="M118" s="121"/>
    </row>
    <row r="119" spans="1:13" s="29" customFormat="1" ht="14.25" customHeight="1" hidden="1">
      <c r="A119" s="138" t="s">
        <v>140</v>
      </c>
      <c r="B119" s="139">
        <f>C108</f>
        <v>37826</v>
      </c>
      <c r="C119" s="139">
        <f>IF(C120&lt;C108,B119,C120)</f>
        <v>37826</v>
      </c>
      <c r="D119" s="269"/>
      <c r="E119" s="122">
        <f>IF(B119&gt;1,DAYS360(B119,C119),0)</f>
        <v>0</v>
      </c>
      <c r="F119" s="201">
        <f>INT(E119/360)</f>
        <v>0</v>
      </c>
      <c r="G119" s="202">
        <f>INT(INT(E119-(F119*360))/30)</f>
        <v>0</v>
      </c>
      <c r="H119" s="434">
        <f>E119-(F119*360)-(G119*30)</f>
        <v>0</v>
      </c>
      <c r="I119" s="453"/>
      <c r="J119" s="217"/>
      <c r="K119" s="562"/>
      <c r="L119" s="121"/>
      <c r="M119" s="121"/>
    </row>
    <row r="120" spans="1:13" s="29" customFormat="1" ht="13.5" customHeight="1" hidden="1">
      <c r="A120" s="166"/>
      <c r="B120" s="166"/>
      <c r="C120" s="274">
        <v>36100</v>
      </c>
      <c r="D120" s="271">
        <f>$E$53</f>
        <v>39715</v>
      </c>
      <c r="I120" s="453"/>
      <c r="J120" s="217"/>
      <c r="K120" s="562"/>
      <c r="L120" s="121"/>
      <c r="M120" s="121"/>
    </row>
    <row r="121" spans="1:13" s="29" customFormat="1" ht="13.5" customHeight="1" hidden="1">
      <c r="A121" s="156" t="s">
        <v>269</v>
      </c>
      <c r="B121" s="153"/>
      <c r="C121" s="153"/>
      <c r="D121" s="232">
        <f>C119</f>
        <v>37826</v>
      </c>
      <c r="E121" s="204">
        <f>E110+E119+1</f>
        <v>5706</v>
      </c>
      <c r="F121" s="201">
        <f>INT(E121/360)</f>
        <v>15</v>
      </c>
      <c r="G121" s="202">
        <f>INT(INT(E121-(F121*360))/30)</f>
        <v>10</v>
      </c>
      <c r="H121" s="434">
        <f>E121-(F121*360)-(G121*30)</f>
        <v>6</v>
      </c>
      <c r="I121" s="453"/>
      <c r="J121" s="217"/>
      <c r="K121" s="562"/>
      <c r="L121" s="121"/>
      <c r="M121" s="121"/>
    </row>
    <row r="122" spans="1:13" s="29" customFormat="1" ht="13.5" customHeight="1" hidden="1">
      <c r="A122" s="156"/>
      <c r="B122" s="153"/>
      <c r="C122" s="153"/>
      <c r="D122" s="153"/>
      <c r="E122" s="204"/>
      <c r="F122" s="127"/>
      <c r="G122" s="128"/>
      <c r="H122" s="128"/>
      <c r="I122" s="453"/>
      <c r="J122" s="217"/>
      <c r="K122" s="562"/>
      <c r="L122" s="121"/>
      <c r="M122" s="121"/>
    </row>
    <row r="123" spans="1:13" s="276" customFormat="1" ht="13.5" customHeight="1" hidden="1">
      <c r="A123" s="156" t="s">
        <v>268</v>
      </c>
      <c r="B123" s="153"/>
      <c r="C123" s="232">
        <f>C119</f>
        <v>37826</v>
      </c>
      <c r="D123" s="153"/>
      <c r="E123" s="204"/>
      <c r="F123" s="127"/>
      <c r="G123" s="128"/>
      <c r="H123" s="128"/>
      <c r="I123" s="455"/>
      <c r="J123" s="558"/>
      <c r="K123" s="562"/>
      <c r="L123" s="559"/>
      <c r="M123" s="559"/>
    </row>
    <row r="124" spans="1:13" s="29" customFormat="1" ht="13.5" customHeight="1" hidden="1">
      <c r="A124" s="156" t="s">
        <v>237</v>
      </c>
      <c r="B124" s="156"/>
      <c r="C124" s="277" t="s">
        <v>289</v>
      </c>
      <c r="E124" s="265">
        <f>IF(C123&gt;C112,HLOOKUP($B$7,TAB!B210:I217,F118),0)</f>
        <v>0</v>
      </c>
      <c r="F124" s="210" t="s">
        <v>152</v>
      </c>
      <c r="G124" s="181" t="str">
        <f>IF(E118=0,"0 - 2",IF(E118=3,"3 - 8",IF(E118=9,"9 - 14",IF(E118=15,"15 - 20",IF(E118=21,"21 - 27",IF(E118=28,"28 - 35",IF(E118=35,"35")))))))</f>
        <v>15 - 20</v>
      </c>
      <c r="H124" s="128"/>
      <c r="I124" s="439"/>
      <c r="J124" s="217"/>
      <c r="K124" s="562"/>
      <c r="L124" s="121"/>
      <c r="M124" s="121"/>
    </row>
    <row r="125" spans="1:13" s="29" customFormat="1" ht="13.5" customHeight="1" hidden="1" thickBot="1">
      <c r="A125" s="156" t="s">
        <v>267</v>
      </c>
      <c r="B125" s="156"/>
      <c r="C125" s="277" t="s">
        <v>290</v>
      </c>
      <c r="D125" s="272">
        <f>IF(C123&gt;C112,HLOOKUP($B$7,TAB!B220:I227,F118),0)</f>
        <v>0</v>
      </c>
      <c r="E125" s="266">
        <f>D125*12</f>
        <v>0</v>
      </c>
      <c r="F125" s="210"/>
      <c r="G125" s="210"/>
      <c r="H125" s="128"/>
      <c r="I125" s="438"/>
      <c r="J125" s="556"/>
      <c r="K125" s="562"/>
      <c r="L125" s="121"/>
      <c r="M125" s="121"/>
    </row>
    <row r="126" spans="1:13" s="29" customFormat="1" ht="13.5" customHeight="1" hidden="1" thickTop="1">
      <c r="A126" s="195" t="s">
        <v>189</v>
      </c>
      <c r="E126" s="196">
        <f>SUM(E124:E125)</f>
        <v>0</v>
      </c>
      <c r="F126" s="197" t="s">
        <v>220</v>
      </c>
      <c r="G126" s="459">
        <f>E126/1936.27</f>
        <v>0</v>
      </c>
      <c r="H126" s="198" t="s">
        <v>75</v>
      </c>
      <c r="I126" s="436">
        <f>E126/12</f>
        <v>0</v>
      </c>
      <c r="J126" s="217"/>
      <c r="K126" s="562"/>
      <c r="L126" s="121"/>
      <c r="M126" s="121"/>
    </row>
    <row r="127" spans="1:13" s="29" customFormat="1" ht="13.5" customHeight="1" hidden="1">
      <c r="A127" s="195"/>
      <c r="E127" s="196"/>
      <c r="F127" s="197"/>
      <c r="G127" s="198"/>
      <c r="I127" s="453"/>
      <c r="J127" s="217"/>
      <c r="K127" s="562"/>
      <c r="L127" s="121"/>
      <c r="M127" s="121"/>
    </row>
    <row r="128" spans="1:13" s="29" customFormat="1" ht="13.5" customHeight="1" hidden="1">
      <c r="A128" s="29">
        <f>IF(D131=C130,$A$4,2)</f>
        <v>2</v>
      </c>
      <c r="D128" s="212">
        <f>IF(D131=C130,F132,2)</f>
        <v>2</v>
      </c>
      <c r="E128" s="267">
        <f>IF(D131=C130,C130,2)</f>
        <v>2</v>
      </c>
      <c r="F128" s="29">
        <f>IF(C130=D131,$E$4,2)</f>
        <v>2</v>
      </c>
      <c r="I128" s="453"/>
      <c r="J128" s="217"/>
      <c r="K128" s="562"/>
      <c r="L128" s="121"/>
      <c r="M128" s="121"/>
    </row>
    <row r="129" spans="1:13" s="29" customFormat="1" ht="14.25" customHeight="1" hidden="1" thickBot="1">
      <c r="A129" s="268" t="s">
        <v>98</v>
      </c>
      <c r="B129" s="162">
        <f>F132</f>
        <v>15</v>
      </c>
      <c r="C129" s="248"/>
      <c r="D129" s="199" t="s">
        <v>162</v>
      </c>
      <c r="E129" s="170">
        <f>IF(B129&lt;3,0,IF(B129&lt;9,3,IF(B129&lt;15,9,IF(B129&lt;21,15,IF(B129&lt;28,21,IF(B129&lt;35,28,IF(B129&lt;40,35)))))))</f>
        <v>15</v>
      </c>
      <c r="F129" s="161">
        <f>IF(E129&lt;3,2,IF(E129&lt;9,3,IF(E129&lt;15,4,IF(E129&lt;21,5,IF(E129&lt;28,6,IF(E129&lt;35,7,IF(E129&lt;40,8)))))))</f>
        <v>5</v>
      </c>
      <c r="G129" s="200" t="s">
        <v>201</v>
      </c>
      <c r="H129" s="433"/>
      <c r="I129" s="453"/>
      <c r="J129" s="217"/>
      <c r="K129" s="562"/>
      <c r="L129" s="121"/>
      <c r="M129" s="121"/>
    </row>
    <row r="130" spans="1:13" s="29" customFormat="1" ht="14.25" customHeight="1" hidden="1">
      <c r="A130" s="138" t="s">
        <v>140</v>
      </c>
      <c r="B130" s="139">
        <f>C119</f>
        <v>37826</v>
      </c>
      <c r="C130" s="139">
        <f>IF(AND(D131&gt;C120,D131&lt;C142),D131,B130)</f>
        <v>37826</v>
      </c>
      <c r="D130" s="269"/>
      <c r="E130" s="122">
        <f>IF(B130&gt;1,DAYS360(B130,C130),0)</f>
        <v>0</v>
      </c>
      <c r="F130" s="201">
        <f>INT(E130/360)</f>
        <v>0</v>
      </c>
      <c r="G130" s="202">
        <f>INT(INT(E130-(F130*360))/30)</f>
        <v>0</v>
      </c>
      <c r="H130" s="434">
        <f>E130-(F130*360)-(G130*30)</f>
        <v>0</v>
      </c>
      <c r="I130" s="453"/>
      <c r="J130" s="217"/>
      <c r="K130" s="562"/>
      <c r="L130" s="121"/>
      <c r="M130" s="121"/>
    </row>
    <row r="131" spans="1:13" s="29" customFormat="1" ht="14.25" customHeight="1" hidden="1">
      <c r="A131" s="166"/>
      <c r="B131" s="166"/>
      <c r="C131" s="155" t="s">
        <v>270</v>
      </c>
      <c r="D131" s="271">
        <f>$E$53</f>
        <v>39715</v>
      </c>
      <c r="I131" s="453"/>
      <c r="J131" s="217"/>
      <c r="K131" s="562"/>
      <c r="L131" s="121"/>
      <c r="M131" s="121"/>
    </row>
    <row r="132" spans="1:13" s="29" customFormat="1" ht="14.25" customHeight="1" hidden="1">
      <c r="A132" s="156" t="s">
        <v>269</v>
      </c>
      <c r="B132" s="153"/>
      <c r="C132" s="153"/>
      <c r="D132" s="232">
        <f>C130</f>
        <v>37826</v>
      </c>
      <c r="E132" s="204">
        <f>E121+E130+1</f>
        <v>5707</v>
      </c>
      <c r="F132" s="201">
        <f>INT(E132/360)</f>
        <v>15</v>
      </c>
      <c r="G132" s="202">
        <f>INT(INT(E132-(F132*360))/30)</f>
        <v>10</v>
      </c>
      <c r="H132" s="434">
        <f>E132-(F132*360)-(G132*30)</f>
        <v>7</v>
      </c>
      <c r="I132" s="453"/>
      <c r="J132" s="217"/>
      <c r="K132" s="562"/>
      <c r="L132" s="121"/>
      <c r="M132" s="121"/>
    </row>
    <row r="133" spans="1:13" s="29" customFormat="1" ht="13.5" customHeight="1" hidden="1">
      <c r="A133" s="156"/>
      <c r="B133" s="153"/>
      <c r="C133" s="153"/>
      <c r="D133" s="153"/>
      <c r="E133" s="204"/>
      <c r="F133" s="127"/>
      <c r="G133" s="128"/>
      <c r="H133" s="128"/>
      <c r="I133" s="454"/>
      <c r="J133" s="555"/>
      <c r="K133" s="562"/>
      <c r="L133" s="121"/>
      <c r="M133" s="121"/>
    </row>
    <row r="134" spans="1:13" s="29" customFormat="1" ht="13.5" customHeight="1" hidden="1">
      <c r="A134" s="156" t="s">
        <v>268</v>
      </c>
      <c r="B134" s="153"/>
      <c r="C134" s="232">
        <f>C130</f>
        <v>37826</v>
      </c>
      <c r="D134" s="153"/>
      <c r="E134" s="204"/>
      <c r="F134" s="127"/>
      <c r="G134" s="128"/>
      <c r="H134" s="128"/>
      <c r="I134" s="453"/>
      <c r="J134" s="217"/>
      <c r="K134" s="562"/>
      <c r="L134" s="121"/>
      <c r="M134" s="121"/>
    </row>
    <row r="135" spans="1:13" s="29" customFormat="1" ht="13.5" customHeight="1" hidden="1">
      <c r="A135" s="156" t="s">
        <v>237</v>
      </c>
      <c r="B135" s="156"/>
      <c r="C135" s="156" t="s">
        <v>158</v>
      </c>
      <c r="E135" s="265">
        <f>IF(C134&gt;C123,HLOOKUP($B$7,TAB!B210:I217,F129),0)</f>
        <v>0</v>
      </c>
      <c r="F135" s="210" t="s">
        <v>152</v>
      </c>
      <c r="G135" s="181" t="str">
        <f>IF(E129=0,"0 - 2",IF(E129=3,"3 - 8",IF(E129=9,"9 - 14",IF(E129=15,"15 - 20",IF(E129=21,"21 - 27",IF(E129=28,"28 - 35",IF(E129=35,"35")))))))</f>
        <v>15 - 20</v>
      </c>
      <c r="H135" s="128"/>
      <c r="I135" s="453"/>
      <c r="J135" s="217"/>
      <c r="K135" s="562"/>
      <c r="L135" s="121"/>
      <c r="M135" s="121"/>
    </row>
    <row r="136" spans="1:13" s="29" customFormat="1" ht="13.5" customHeight="1" hidden="1" thickBot="1">
      <c r="A136" s="156" t="s">
        <v>267</v>
      </c>
      <c r="B136" s="156"/>
      <c r="C136" s="156" t="s">
        <v>145</v>
      </c>
      <c r="D136" s="272">
        <f>IF(C134&gt;C123,HLOOKUP($B$7,TAB!B220:I227,F129),0)</f>
        <v>0</v>
      </c>
      <c r="E136" s="266">
        <f>D136*12</f>
        <v>0</v>
      </c>
      <c r="F136" s="210"/>
      <c r="G136" s="210"/>
      <c r="H136" s="128"/>
      <c r="I136" s="453"/>
      <c r="J136" s="217"/>
      <c r="K136" s="562"/>
      <c r="L136" s="121"/>
      <c r="M136" s="121"/>
    </row>
    <row r="137" spans="1:13" s="29" customFormat="1" ht="14.25" customHeight="1" hidden="1" thickTop="1">
      <c r="A137" s="195" t="s">
        <v>189</v>
      </c>
      <c r="E137" s="196">
        <f>SUM(E135:E136)</f>
        <v>0</v>
      </c>
      <c r="F137" s="197" t="s">
        <v>220</v>
      </c>
      <c r="G137" s="459">
        <f>E137/1936.27</f>
        <v>0</v>
      </c>
      <c r="H137" s="198" t="s">
        <v>75</v>
      </c>
      <c r="I137" s="436">
        <f>E137/12</f>
        <v>0</v>
      </c>
      <c r="J137" s="217"/>
      <c r="K137" s="562"/>
      <c r="L137" s="121"/>
      <c r="M137" s="121"/>
    </row>
    <row r="138" spans="1:13" s="29" customFormat="1" ht="14.25" customHeight="1" hidden="1">
      <c r="A138" s="195"/>
      <c r="E138" s="196"/>
      <c r="F138" s="197"/>
      <c r="G138" s="198"/>
      <c r="I138" s="453"/>
      <c r="J138" s="217"/>
      <c r="K138" s="562"/>
      <c r="L138" s="121"/>
      <c r="M138" s="121"/>
    </row>
    <row r="139" spans="1:13" s="29" customFormat="1" ht="13.5" customHeight="1" hidden="1">
      <c r="A139" s="29">
        <f>IF(D142=C141,$A$4,2)</f>
        <v>2</v>
      </c>
      <c r="D139" s="212">
        <f>IF(D142=C141,F143,2)</f>
        <v>2</v>
      </c>
      <c r="E139" s="267">
        <f>IF(D142=C141,C141,2)</f>
        <v>2</v>
      </c>
      <c r="F139" s="29">
        <f>IF(C141=D142,$E$4,2)</f>
        <v>2</v>
      </c>
      <c r="I139" s="453"/>
      <c r="J139" s="217"/>
      <c r="K139" s="562"/>
      <c r="L139" s="121"/>
      <c r="M139" s="121"/>
    </row>
    <row r="140" spans="1:13" s="29" customFormat="1" ht="14.25" customHeight="1" hidden="1" thickBot="1">
      <c r="A140" s="268" t="s">
        <v>98</v>
      </c>
      <c r="B140" s="162">
        <f>F143</f>
        <v>15</v>
      </c>
      <c r="C140" s="248"/>
      <c r="D140" s="199" t="s">
        <v>162</v>
      </c>
      <c r="E140" s="170">
        <f>IF(B140&lt;3,0,IF(B140&lt;9,3,IF(B140&lt;15,9,IF(B140&lt;21,15,IF(B140&lt;28,21,IF(B140&lt;35,28,IF(B140&lt;40,35)))))))</f>
        <v>15</v>
      </c>
      <c r="F140" s="161">
        <f>IF(E140&lt;3,2,IF(E140&lt;9,3,IF(E140&lt;15,4,IF(E140&lt;21,5,IF(E140&lt;28,6,IF(E140&lt;35,7,IF(E140&lt;40,8)))))))</f>
        <v>5</v>
      </c>
      <c r="G140" s="200" t="s">
        <v>201</v>
      </c>
      <c r="H140" s="433"/>
      <c r="I140" s="453"/>
      <c r="J140" s="217"/>
      <c r="K140" s="562"/>
      <c r="L140" s="121"/>
      <c r="M140" s="121"/>
    </row>
    <row r="141" spans="1:13" s="29" customFormat="1" ht="14.25" customHeight="1" hidden="1">
      <c r="A141" s="138" t="s">
        <v>140</v>
      </c>
      <c r="B141" s="139">
        <f>C130</f>
        <v>37826</v>
      </c>
      <c r="C141" s="139">
        <f>IF(C142&lt;C130,B141,C142)</f>
        <v>37826</v>
      </c>
      <c r="D141" s="269"/>
      <c r="E141" s="122">
        <f>IF(B141&gt;1,DAYS360(B141,C141),0)</f>
        <v>0</v>
      </c>
      <c r="F141" s="201">
        <f>INT(E141/360)</f>
        <v>0</v>
      </c>
      <c r="G141" s="202">
        <f>INT(INT(E141-(F141*360))/30)</f>
        <v>0</v>
      </c>
      <c r="H141" s="434">
        <f>E141-(F141*360)-(G141*30)</f>
        <v>0</v>
      </c>
      <c r="I141" s="453"/>
      <c r="J141" s="217"/>
      <c r="K141" s="562"/>
      <c r="L141" s="121"/>
      <c r="M141" s="121"/>
    </row>
    <row r="142" spans="1:13" s="29" customFormat="1" ht="13.5" customHeight="1" hidden="1">
      <c r="A142" s="166"/>
      <c r="B142" s="166"/>
      <c r="C142" s="274">
        <v>36312</v>
      </c>
      <c r="D142" s="271">
        <f>$E$53</f>
        <v>39715</v>
      </c>
      <c r="I142" s="453"/>
      <c r="J142" s="217"/>
      <c r="K142" s="562"/>
      <c r="L142" s="121"/>
      <c r="M142" s="121"/>
    </row>
    <row r="143" spans="1:13" s="29" customFormat="1" ht="13.5" customHeight="1" hidden="1">
      <c r="A143" s="156" t="s">
        <v>269</v>
      </c>
      <c r="B143" s="153"/>
      <c r="C143" s="153"/>
      <c r="D143" s="232">
        <f>C141</f>
        <v>37826</v>
      </c>
      <c r="E143" s="204">
        <f>E132+E141+1</f>
        <v>5708</v>
      </c>
      <c r="F143" s="201">
        <f>INT(E143/360)</f>
        <v>15</v>
      </c>
      <c r="G143" s="202">
        <f>INT(INT(E143-(F143*360))/30)</f>
        <v>10</v>
      </c>
      <c r="H143" s="434">
        <f>E143-(F143*360)-(G143*30)</f>
        <v>8</v>
      </c>
      <c r="I143" s="453"/>
      <c r="J143" s="217"/>
      <c r="K143" s="562"/>
      <c r="L143" s="121"/>
      <c r="M143" s="121"/>
    </row>
    <row r="144" spans="1:13" s="29" customFormat="1" ht="13.5" customHeight="1" hidden="1">
      <c r="A144" s="156"/>
      <c r="B144" s="153"/>
      <c r="C144" s="153"/>
      <c r="D144" s="153"/>
      <c r="E144" s="204"/>
      <c r="F144" s="127"/>
      <c r="G144" s="128"/>
      <c r="H144" s="128"/>
      <c r="I144" s="453"/>
      <c r="J144" s="217"/>
      <c r="K144" s="562"/>
      <c r="L144" s="121"/>
      <c r="M144" s="121"/>
    </row>
    <row r="145" spans="1:13" s="276" customFormat="1" ht="13.5" customHeight="1" hidden="1">
      <c r="A145" s="156" t="s">
        <v>268</v>
      </c>
      <c r="B145" s="153"/>
      <c r="C145" s="232">
        <f>C141</f>
        <v>37826</v>
      </c>
      <c r="D145" s="153"/>
      <c r="E145" s="204"/>
      <c r="F145" s="127"/>
      <c r="G145" s="128"/>
      <c r="H145" s="128"/>
      <c r="I145" s="455"/>
      <c r="J145" s="558"/>
      <c r="K145" s="562"/>
      <c r="L145" s="559"/>
      <c r="M145" s="559"/>
    </row>
    <row r="146" spans="1:13" s="29" customFormat="1" ht="13.5" customHeight="1" hidden="1">
      <c r="A146" s="156" t="s">
        <v>237</v>
      </c>
      <c r="B146" s="156"/>
      <c r="C146" s="156" t="s">
        <v>272</v>
      </c>
      <c r="E146" s="265">
        <f>IF(C145&gt;C134,HLOOKUP($B$7,TAB!B263:I270,F140),0)</f>
        <v>0</v>
      </c>
      <c r="F146" s="210" t="s">
        <v>152</v>
      </c>
      <c r="G146" s="181" t="str">
        <f>IF(E140=0,"0 - 2",IF(E140=3,"3 - 8",IF(E140=9,"9 - 14",IF(E140=15,"15 - 20",IF(E140=21,"21 - 27",IF(E140=28,"28 - 35",IF(E140=35,"35")))))))</f>
        <v>15 - 20</v>
      </c>
      <c r="H146" s="128"/>
      <c r="I146" s="439"/>
      <c r="J146" s="217"/>
      <c r="K146" s="562"/>
      <c r="L146" s="121"/>
      <c r="M146" s="121"/>
    </row>
    <row r="147" spans="1:13" s="29" customFormat="1" ht="13.5" customHeight="1" hidden="1" thickBot="1">
      <c r="A147" s="156"/>
      <c r="B147" s="278">
        <f>HLOOKUP($B$7,TAB!B252:I259,F140)</f>
        <v>96000</v>
      </c>
      <c r="C147" s="279"/>
      <c r="D147" s="272"/>
      <c r="E147" s="266"/>
      <c r="F147" s="210"/>
      <c r="G147" s="210"/>
      <c r="H147" s="128"/>
      <c r="I147" s="438"/>
      <c r="J147" s="556"/>
      <c r="K147" s="562"/>
      <c r="L147" s="121"/>
      <c r="M147" s="121"/>
    </row>
    <row r="148" spans="1:13" s="29" customFormat="1" ht="13.5" customHeight="1" hidden="1" thickTop="1">
      <c r="A148" s="195" t="s">
        <v>189</v>
      </c>
      <c r="E148" s="196">
        <f>SUM(E146:E147)</f>
        <v>0</v>
      </c>
      <c r="F148" s="197" t="s">
        <v>220</v>
      </c>
      <c r="G148" s="459">
        <f>E148/1936.27</f>
        <v>0</v>
      </c>
      <c r="H148" s="198" t="s">
        <v>75</v>
      </c>
      <c r="I148" s="436">
        <f>E148/12</f>
        <v>0</v>
      </c>
      <c r="J148" s="217"/>
      <c r="K148" s="562"/>
      <c r="L148" s="121"/>
      <c r="M148" s="121"/>
    </row>
    <row r="149" spans="1:13" s="29" customFormat="1" ht="13.5" customHeight="1" hidden="1">
      <c r="A149" s="195"/>
      <c r="E149" s="196"/>
      <c r="F149" s="197"/>
      <c r="G149" s="198"/>
      <c r="I149" s="453"/>
      <c r="J149" s="217"/>
      <c r="K149" s="562"/>
      <c r="L149" s="121"/>
      <c r="M149" s="121"/>
    </row>
    <row r="150" spans="1:13" s="29" customFormat="1" ht="13.5" customHeight="1" hidden="1">
      <c r="A150" s="29">
        <f>IF(D153=C152,$A$4,2)</f>
        <v>2</v>
      </c>
      <c r="D150" s="212">
        <f>IF(D153=C152,F154,2)</f>
        <v>2</v>
      </c>
      <c r="E150" s="267">
        <f>IF(D153=C152,C152,2)</f>
        <v>2</v>
      </c>
      <c r="F150" s="29">
        <f>IF(C152=D153,$E$4,2)</f>
        <v>2</v>
      </c>
      <c r="I150" s="453"/>
      <c r="J150" s="217"/>
      <c r="K150" s="562"/>
      <c r="L150" s="121"/>
      <c r="M150" s="121"/>
    </row>
    <row r="151" spans="1:13" s="29" customFormat="1" ht="14.25" customHeight="1" hidden="1" thickBot="1">
      <c r="A151" s="268" t="s">
        <v>98</v>
      </c>
      <c r="B151" s="162">
        <f>F154</f>
        <v>15</v>
      </c>
      <c r="C151" s="248"/>
      <c r="D151" s="199" t="s">
        <v>162</v>
      </c>
      <c r="E151" s="170">
        <f>IF(B151&lt;3,0,IF(B151&lt;9,3,IF(B151&lt;15,9,IF(B151&lt;21,15,IF(B151&lt;28,21,IF(B151&lt;35,28,IF(B151&lt;40,35)))))))</f>
        <v>15</v>
      </c>
      <c r="F151" s="161">
        <f>IF(E151&lt;3,2,IF(E151&lt;9,3,IF(E151&lt;15,4,IF(E151&lt;21,5,IF(E151&lt;28,6,IF(E151&lt;35,7,IF(E151&lt;40,8)))))))</f>
        <v>5</v>
      </c>
      <c r="G151" s="200" t="s">
        <v>201</v>
      </c>
      <c r="H151" s="433"/>
      <c r="I151" s="453"/>
      <c r="J151" s="217"/>
      <c r="K151" s="562"/>
      <c r="L151" s="121"/>
      <c r="M151" s="121"/>
    </row>
    <row r="152" spans="1:13" s="29" customFormat="1" ht="14.25" customHeight="1" hidden="1">
      <c r="A152" s="138" t="s">
        <v>140</v>
      </c>
      <c r="B152" s="139">
        <f>C141</f>
        <v>37826</v>
      </c>
      <c r="C152" s="139">
        <f>IF(AND(D153&gt;C142,D153&lt;C164),D153,B152)</f>
        <v>37826</v>
      </c>
      <c r="D152" s="269"/>
      <c r="E152" s="122">
        <f>IF(B152&gt;1,DAYS360(B152,C152),0)</f>
        <v>0</v>
      </c>
      <c r="F152" s="201">
        <f>INT(E152/360)</f>
        <v>0</v>
      </c>
      <c r="G152" s="202">
        <f>INT(INT(E152-(F152*360))/30)</f>
        <v>0</v>
      </c>
      <c r="H152" s="434">
        <f>E152-(F152*360)-(G152*30)</f>
        <v>0</v>
      </c>
      <c r="I152" s="453"/>
      <c r="J152" s="217"/>
      <c r="K152" s="562"/>
      <c r="L152" s="121"/>
      <c r="M152" s="121"/>
    </row>
    <row r="153" spans="1:13" s="29" customFormat="1" ht="14.25" customHeight="1" hidden="1">
      <c r="A153" s="166"/>
      <c r="B153" s="166"/>
      <c r="C153" s="155" t="s">
        <v>270</v>
      </c>
      <c r="D153" s="271">
        <f>$E$53</f>
        <v>39715</v>
      </c>
      <c r="I153" s="453"/>
      <c r="J153" s="217"/>
      <c r="K153" s="562"/>
      <c r="L153" s="121"/>
      <c r="M153" s="121"/>
    </row>
    <row r="154" spans="1:13" s="29" customFormat="1" ht="14.25" customHeight="1" hidden="1">
      <c r="A154" s="156" t="s">
        <v>269</v>
      </c>
      <c r="B154" s="153"/>
      <c r="C154" s="153"/>
      <c r="D154" s="232">
        <f>C152</f>
        <v>37826</v>
      </c>
      <c r="E154" s="204">
        <f>E143+E152+1</f>
        <v>5709</v>
      </c>
      <c r="F154" s="201">
        <f>INT(E154/360)</f>
        <v>15</v>
      </c>
      <c r="G154" s="202">
        <f>INT(INT(E154-(F154*360))/30)</f>
        <v>10</v>
      </c>
      <c r="H154" s="434">
        <f>E154-(F154*360)-(G154*30)</f>
        <v>9</v>
      </c>
      <c r="I154" s="453"/>
      <c r="J154" s="217"/>
      <c r="K154" s="562"/>
      <c r="L154" s="121"/>
      <c r="M154" s="121"/>
    </row>
    <row r="155" spans="1:13" s="29" customFormat="1" ht="13.5" customHeight="1" hidden="1">
      <c r="A155" s="156"/>
      <c r="B155" s="153"/>
      <c r="C155" s="153"/>
      <c r="D155" s="153"/>
      <c r="E155" s="204"/>
      <c r="F155" s="127"/>
      <c r="G155" s="128"/>
      <c r="H155" s="128"/>
      <c r="I155" s="454"/>
      <c r="J155" s="555"/>
      <c r="K155" s="562"/>
      <c r="L155" s="121"/>
      <c r="M155" s="121"/>
    </row>
    <row r="156" spans="1:13" s="29" customFormat="1" ht="13.5" customHeight="1" hidden="1">
      <c r="A156" s="156" t="s">
        <v>268</v>
      </c>
      <c r="B156" s="153"/>
      <c r="C156" s="232">
        <f>C152</f>
        <v>37826</v>
      </c>
      <c r="D156" s="153"/>
      <c r="E156" s="204"/>
      <c r="F156" s="127"/>
      <c r="G156" s="128"/>
      <c r="H156" s="128"/>
      <c r="I156" s="453"/>
      <c r="J156" s="217"/>
      <c r="K156" s="562"/>
      <c r="L156" s="121"/>
      <c r="M156" s="121"/>
    </row>
    <row r="157" spans="1:13" s="29" customFormat="1" ht="13.5" customHeight="1" hidden="1">
      <c r="A157" s="156" t="s">
        <v>237</v>
      </c>
      <c r="B157" s="156"/>
      <c r="C157" s="156" t="s">
        <v>272</v>
      </c>
      <c r="E157" s="265">
        <f>IF(C156&gt;C145,HLOOKUP($B$7,TAB!B263:I270,F151),0)</f>
        <v>0</v>
      </c>
      <c r="F157" s="210" t="s">
        <v>152</v>
      </c>
      <c r="G157" s="181" t="str">
        <f>IF(E151=0,"0 - 2",IF(E151=3,"3 - 8",IF(E151=9,"9 - 14",IF(E151=15,"15 - 20",IF(E151=21,"21 - 27",IF(E151=28,"28 - 35",IF(E151=35,"35")))))))</f>
        <v>15 - 20</v>
      </c>
      <c r="H157" s="128"/>
      <c r="I157" s="453"/>
      <c r="J157" s="217"/>
      <c r="K157" s="562"/>
      <c r="L157" s="121"/>
      <c r="M157" s="121"/>
    </row>
    <row r="158" spans="1:13" s="29" customFormat="1" ht="13.5" customHeight="1" hidden="1" thickBot="1">
      <c r="A158" s="156"/>
      <c r="B158" s="156"/>
      <c r="C158" s="156"/>
      <c r="D158" s="272"/>
      <c r="E158" s="266"/>
      <c r="F158" s="210"/>
      <c r="G158" s="210"/>
      <c r="H158" s="128"/>
      <c r="I158" s="453"/>
      <c r="J158" s="217"/>
      <c r="K158" s="562"/>
      <c r="L158" s="121"/>
      <c r="M158" s="121"/>
    </row>
    <row r="159" spans="1:13" s="29" customFormat="1" ht="14.25" customHeight="1" hidden="1" thickTop="1">
      <c r="A159" s="195" t="s">
        <v>189</v>
      </c>
      <c r="E159" s="196">
        <f>SUM(E157:E158)</f>
        <v>0</v>
      </c>
      <c r="F159" s="197" t="s">
        <v>220</v>
      </c>
      <c r="G159" s="459">
        <f>E159/1936.27</f>
        <v>0</v>
      </c>
      <c r="H159" s="198" t="s">
        <v>75</v>
      </c>
      <c r="I159" s="436">
        <f>E159/12</f>
        <v>0</v>
      </c>
      <c r="J159" s="217"/>
      <c r="K159" s="562"/>
      <c r="L159" s="121"/>
      <c r="M159" s="121"/>
    </row>
    <row r="160" spans="1:13" s="29" customFormat="1" ht="14.25" customHeight="1" hidden="1">
      <c r="A160" s="195"/>
      <c r="E160" s="196"/>
      <c r="F160" s="197"/>
      <c r="G160" s="198"/>
      <c r="I160" s="453"/>
      <c r="J160" s="217"/>
      <c r="K160" s="562"/>
      <c r="L160" s="121"/>
      <c r="M160" s="121"/>
    </row>
    <row r="161" spans="1:13" s="29" customFormat="1" ht="13.5" customHeight="1" hidden="1">
      <c r="A161" s="29">
        <f>IF(D164=C163,$A$4,2)</f>
        <v>2</v>
      </c>
      <c r="D161" s="212">
        <f>IF(D164=C163,F165,2)</f>
        <v>2</v>
      </c>
      <c r="E161" s="267">
        <f>IF(D164=C163,C163,2)</f>
        <v>2</v>
      </c>
      <c r="F161" s="29">
        <f>IF(C163=D164,$E$4,2)</f>
        <v>2</v>
      </c>
      <c r="I161" s="453"/>
      <c r="J161" s="217"/>
      <c r="K161" s="562"/>
      <c r="L161" s="121"/>
      <c r="M161" s="121"/>
    </row>
    <row r="162" spans="1:13" s="29" customFormat="1" ht="14.25" customHeight="1" hidden="1" thickBot="1">
      <c r="A162" s="268" t="s">
        <v>98</v>
      </c>
      <c r="B162" s="162">
        <f>F165</f>
        <v>15</v>
      </c>
      <c r="C162" s="248"/>
      <c r="D162" s="199" t="s">
        <v>162</v>
      </c>
      <c r="E162" s="170">
        <f>IF(B162&lt;3,0,IF(B162&lt;9,3,IF(B162&lt;15,9,IF(B162&lt;21,15,IF(B162&lt;28,21,IF(B162&lt;35,28,IF(B162&lt;40,35)))))))</f>
        <v>15</v>
      </c>
      <c r="F162" s="161">
        <f>IF(E162&lt;3,2,IF(E162&lt;9,3,IF(E162&lt;15,4,IF(E162&lt;21,5,IF(E162&lt;28,6,IF(E162&lt;35,7,IF(E162&lt;40,8)))))))</f>
        <v>5</v>
      </c>
      <c r="G162" s="200" t="s">
        <v>201</v>
      </c>
      <c r="H162" s="433"/>
      <c r="I162" s="453"/>
      <c r="J162" s="217"/>
      <c r="K162" s="562"/>
      <c r="L162" s="121"/>
      <c r="M162" s="121"/>
    </row>
    <row r="163" spans="1:13" s="29" customFormat="1" ht="14.25" customHeight="1" hidden="1">
      <c r="A163" s="138" t="s">
        <v>140</v>
      </c>
      <c r="B163" s="139">
        <f>C152</f>
        <v>37826</v>
      </c>
      <c r="C163" s="139">
        <f>IF(C164&lt;C152,B163,C164)</f>
        <v>37826</v>
      </c>
      <c r="D163" s="269"/>
      <c r="E163" s="122">
        <f>IF(B163&gt;1,DAYS360(B163,C163),0)</f>
        <v>0</v>
      </c>
      <c r="F163" s="201">
        <f>INT(E163/360)</f>
        <v>0</v>
      </c>
      <c r="G163" s="202">
        <f>INT(INT(E163-(F163*360))/30)</f>
        <v>0</v>
      </c>
      <c r="H163" s="434">
        <f>E163-(F163*360)-(G163*30)</f>
        <v>0</v>
      </c>
      <c r="I163" s="453"/>
      <c r="J163" s="217"/>
      <c r="K163" s="562"/>
      <c r="L163" s="121"/>
      <c r="M163" s="121"/>
    </row>
    <row r="164" spans="1:13" s="29" customFormat="1" ht="13.5" customHeight="1" hidden="1">
      <c r="A164" s="166"/>
      <c r="B164" s="166"/>
      <c r="C164" s="274">
        <v>36708</v>
      </c>
      <c r="D164" s="271">
        <f>$E$53</f>
        <v>39715</v>
      </c>
      <c r="I164" s="453"/>
      <c r="J164" s="217"/>
      <c r="K164" s="562"/>
      <c r="L164" s="121"/>
      <c r="M164" s="121"/>
    </row>
    <row r="165" spans="1:13" s="29" customFormat="1" ht="13.5" customHeight="1" hidden="1">
      <c r="A165" s="156" t="s">
        <v>269</v>
      </c>
      <c r="B165" s="153"/>
      <c r="C165" s="153"/>
      <c r="D165" s="232">
        <f>C163</f>
        <v>37826</v>
      </c>
      <c r="E165" s="204">
        <f>E154+E163</f>
        <v>5709</v>
      </c>
      <c r="F165" s="201">
        <f>INT(E165/360)</f>
        <v>15</v>
      </c>
      <c r="G165" s="202">
        <f>INT(INT(E165-(F165*360))/30)</f>
        <v>10</v>
      </c>
      <c r="H165" s="434">
        <f>E165-(F165*360)-(G165*30)</f>
        <v>9</v>
      </c>
      <c r="I165" s="453"/>
      <c r="J165" s="217"/>
      <c r="K165" s="562"/>
      <c r="L165" s="121"/>
      <c r="M165" s="121"/>
    </row>
    <row r="166" spans="1:13" s="29" customFormat="1" ht="13.5" customHeight="1" hidden="1">
      <c r="A166" s="156"/>
      <c r="B166" s="153"/>
      <c r="C166" s="153"/>
      <c r="D166" s="153"/>
      <c r="E166" s="204"/>
      <c r="F166" s="127"/>
      <c r="G166" s="128"/>
      <c r="H166" s="128"/>
      <c r="I166" s="453"/>
      <c r="J166" s="217"/>
      <c r="K166" s="562"/>
      <c r="L166" s="121"/>
      <c r="M166" s="121"/>
    </row>
    <row r="167" spans="1:13" s="276" customFormat="1" ht="13.5" customHeight="1" hidden="1">
      <c r="A167" s="156" t="s">
        <v>268</v>
      </c>
      <c r="B167" s="153"/>
      <c r="C167" s="232">
        <f>C163</f>
        <v>37826</v>
      </c>
      <c r="D167" s="153"/>
      <c r="E167" s="204"/>
      <c r="F167" s="127"/>
      <c r="G167" s="128"/>
      <c r="H167" s="128"/>
      <c r="I167" s="455"/>
      <c r="J167" s="558"/>
      <c r="K167" s="562"/>
      <c r="L167" s="559"/>
      <c r="M167" s="559"/>
    </row>
    <row r="168" spans="1:13" s="29" customFormat="1" ht="13.5" customHeight="1" hidden="1">
      <c r="A168" s="156" t="s">
        <v>237</v>
      </c>
      <c r="B168" s="156"/>
      <c r="C168" s="156" t="s">
        <v>272</v>
      </c>
      <c r="E168" s="265">
        <f>IF(C167&gt;C156,HLOOKUP($B$7,TAB!B263:I270,F162),0)</f>
        <v>0</v>
      </c>
      <c r="F168" s="210" t="s">
        <v>152</v>
      </c>
      <c r="G168" s="181" t="str">
        <f>IF(E162=0,"0 - 2",IF(E162=3,"3 - 8",IF(E162=9,"9 - 14",IF(E162=15,"15 - 20",IF(E162=21,"21 - 27",IF(E162=28,"28 - 35",IF(E162=35,"35")))))))</f>
        <v>15 - 20</v>
      </c>
      <c r="H168" s="128"/>
      <c r="I168" s="439"/>
      <c r="J168" s="217"/>
      <c r="K168" s="562"/>
      <c r="L168" s="121"/>
      <c r="M168" s="121"/>
    </row>
    <row r="169" spans="1:13" s="29" customFormat="1" ht="13.5" customHeight="1" hidden="1" thickBot="1">
      <c r="A169" s="156" t="s">
        <v>267</v>
      </c>
      <c r="B169" s="156"/>
      <c r="C169" s="156" t="s">
        <v>271</v>
      </c>
      <c r="D169" s="272">
        <f>IF(C167&gt;C156,HLOOKUP($B$7,TAB!B275:I282,F162),0)</f>
        <v>0</v>
      </c>
      <c r="E169" s="266">
        <f>D169*12</f>
        <v>0</v>
      </c>
      <c r="F169" s="210"/>
      <c r="G169" s="210"/>
      <c r="H169" s="128"/>
      <c r="I169" s="438"/>
      <c r="J169" s="556"/>
      <c r="K169" s="562"/>
      <c r="L169" s="121"/>
      <c r="M169" s="121"/>
    </row>
    <row r="170" spans="1:13" s="29" customFormat="1" ht="13.5" customHeight="1" hidden="1" thickTop="1">
      <c r="A170" s="195" t="s">
        <v>189</v>
      </c>
      <c r="E170" s="196">
        <f>SUM(E168:E169)</f>
        <v>0</v>
      </c>
      <c r="F170" s="197" t="s">
        <v>220</v>
      </c>
      <c r="G170" s="459">
        <f>E170/1936.27</f>
        <v>0</v>
      </c>
      <c r="H170" s="198" t="s">
        <v>75</v>
      </c>
      <c r="I170" s="436">
        <f>E170/12</f>
        <v>0</v>
      </c>
      <c r="J170" s="217"/>
      <c r="K170" s="562"/>
      <c r="L170" s="121"/>
      <c r="M170" s="121"/>
    </row>
    <row r="171" spans="1:13" s="29" customFormat="1" ht="13.5" customHeight="1" hidden="1">
      <c r="A171" s="195"/>
      <c r="E171" s="196"/>
      <c r="F171" s="197"/>
      <c r="G171" s="198"/>
      <c r="I171" s="453"/>
      <c r="J171" s="217"/>
      <c r="K171" s="562"/>
      <c r="L171" s="121"/>
      <c r="M171" s="121"/>
    </row>
    <row r="172" spans="1:13" s="29" customFormat="1" ht="13.5" customHeight="1" hidden="1">
      <c r="A172" s="29">
        <f>IF(D175=C174,$A$4,2)</f>
        <v>2</v>
      </c>
      <c r="D172" s="212">
        <f>IF(D175=C174,F176,2)</f>
        <v>2</v>
      </c>
      <c r="E172" s="267">
        <f>IF(D175=C174,C174,2)</f>
        <v>2</v>
      </c>
      <c r="F172" s="29">
        <f>IF(C174=D175,$E$4,2)</f>
        <v>2</v>
      </c>
      <c r="I172" s="453"/>
      <c r="J172" s="217"/>
      <c r="K172" s="562"/>
      <c r="L172" s="121"/>
      <c r="M172" s="121"/>
    </row>
    <row r="173" spans="1:13" s="29" customFormat="1" ht="14.25" customHeight="1" hidden="1" thickBot="1">
      <c r="A173" s="268" t="s">
        <v>98</v>
      </c>
      <c r="B173" s="162">
        <f>F176</f>
        <v>15</v>
      </c>
      <c r="C173" s="248"/>
      <c r="D173" s="199" t="s">
        <v>162</v>
      </c>
      <c r="E173" s="170">
        <f>IF(B173&lt;3,0,IF(B173&lt;9,3,IF(B173&lt;15,9,IF(B173&lt;21,15,IF(B173&lt;28,21,IF(B173&lt;35,28,IF(B173&lt;40,35)))))))</f>
        <v>15</v>
      </c>
      <c r="F173" s="161">
        <f>IF(E173&lt;3,2,IF(E173&lt;9,3,IF(E173&lt;15,4,IF(E173&lt;21,5,IF(E173&lt;28,6,IF(E173&lt;35,7,IF(E173&lt;40,8)))))))</f>
        <v>5</v>
      </c>
      <c r="G173" s="200" t="s">
        <v>201</v>
      </c>
      <c r="H173" s="433"/>
      <c r="I173" s="453"/>
      <c r="J173" s="217"/>
      <c r="K173" s="562"/>
      <c r="L173" s="121"/>
      <c r="M173" s="121"/>
    </row>
    <row r="174" spans="1:13" s="29" customFormat="1" ht="14.25" customHeight="1" hidden="1">
      <c r="A174" s="138" t="s">
        <v>140</v>
      </c>
      <c r="B174" s="139">
        <f>C163</f>
        <v>37826</v>
      </c>
      <c r="C174" s="139">
        <f>IF(AND(D175&gt;C164,D175&lt;C186),D175,B174)</f>
        <v>37826</v>
      </c>
      <c r="D174" s="269"/>
      <c r="E174" s="122">
        <f>IF(B174&gt;1,DAYS360(B174,C174),0)</f>
        <v>0</v>
      </c>
      <c r="F174" s="201">
        <f>INT(E174/360)</f>
        <v>0</v>
      </c>
      <c r="G174" s="202">
        <f>INT(INT(E174-(F174*360))/30)</f>
        <v>0</v>
      </c>
      <c r="H174" s="434">
        <f>E174-(F174*360)-(G174*30)</f>
        <v>0</v>
      </c>
      <c r="I174" s="453"/>
      <c r="J174" s="217"/>
      <c r="K174" s="562"/>
      <c r="L174" s="121"/>
      <c r="M174" s="121"/>
    </row>
    <row r="175" spans="1:13" s="29" customFormat="1" ht="14.25" customHeight="1" hidden="1">
      <c r="A175" s="166"/>
      <c r="B175" s="166"/>
      <c r="C175" s="155" t="s">
        <v>270</v>
      </c>
      <c r="D175" s="271">
        <f>$E$53</f>
        <v>39715</v>
      </c>
      <c r="I175" s="453"/>
      <c r="J175" s="217"/>
      <c r="K175" s="562"/>
      <c r="L175" s="121"/>
      <c r="M175" s="121"/>
    </row>
    <row r="176" spans="1:13" s="29" customFormat="1" ht="14.25" customHeight="1" hidden="1">
      <c r="A176" s="156" t="s">
        <v>269</v>
      </c>
      <c r="B176" s="153"/>
      <c r="C176" s="153"/>
      <c r="D176" s="232">
        <f>C174</f>
        <v>37826</v>
      </c>
      <c r="E176" s="204">
        <f>E165+E174</f>
        <v>5709</v>
      </c>
      <c r="F176" s="201">
        <f>INT(E176/360)</f>
        <v>15</v>
      </c>
      <c r="G176" s="202">
        <f>INT(INT(E176-(F176*360))/30)</f>
        <v>10</v>
      </c>
      <c r="H176" s="434">
        <f>E176-(F176*360)-(G176*30)</f>
        <v>9</v>
      </c>
      <c r="I176" s="453"/>
      <c r="J176" s="217"/>
      <c r="K176" s="562"/>
      <c r="L176" s="121"/>
      <c r="M176" s="121"/>
    </row>
    <row r="177" spans="1:13" s="29" customFormat="1" ht="13.5" customHeight="1" hidden="1">
      <c r="A177" s="156"/>
      <c r="B177" s="153"/>
      <c r="C177" s="153"/>
      <c r="D177" s="153"/>
      <c r="E177" s="204"/>
      <c r="F177" s="127"/>
      <c r="G177" s="128"/>
      <c r="H177" s="128"/>
      <c r="I177" s="454"/>
      <c r="J177" s="555"/>
      <c r="K177" s="562"/>
      <c r="L177" s="121"/>
      <c r="M177" s="121"/>
    </row>
    <row r="178" spans="1:13" s="29" customFormat="1" ht="13.5" customHeight="1" hidden="1">
      <c r="A178" s="156" t="s">
        <v>268</v>
      </c>
      <c r="B178" s="153"/>
      <c r="C178" s="232">
        <f>C174</f>
        <v>37826</v>
      </c>
      <c r="D178" s="153"/>
      <c r="E178" s="204"/>
      <c r="F178" s="127"/>
      <c r="G178" s="128"/>
      <c r="H178" s="128"/>
      <c r="I178" s="453"/>
      <c r="J178" s="217"/>
      <c r="K178" s="562"/>
      <c r="L178" s="121"/>
      <c r="M178" s="121"/>
    </row>
    <row r="179" spans="1:13" s="29" customFormat="1" ht="13.5" customHeight="1" hidden="1">
      <c r="A179" s="156" t="s">
        <v>237</v>
      </c>
      <c r="B179" s="156"/>
      <c r="C179" s="156" t="s">
        <v>272</v>
      </c>
      <c r="E179" s="265">
        <f>IF(C178&gt;C167,HLOOKUP($B$7,TAB!B263:I270,F173),0)</f>
        <v>0</v>
      </c>
      <c r="F179" s="210" t="s">
        <v>152</v>
      </c>
      <c r="G179" s="181" t="str">
        <f>IF(E173=0,"0 - 2",IF(E173=3,"3 - 8",IF(E173=9,"9 - 14",IF(E173=15,"15 - 20",IF(E173=21,"21 - 27",IF(E173=28,"28 - 35",IF(E173=35,"35")))))))</f>
        <v>15 - 20</v>
      </c>
      <c r="H179" s="128"/>
      <c r="I179" s="453"/>
      <c r="J179" s="217"/>
      <c r="K179" s="562"/>
      <c r="L179" s="121"/>
      <c r="M179" s="121"/>
    </row>
    <row r="180" spans="1:13" s="29" customFormat="1" ht="13.5" customHeight="1" hidden="1" thickBot="1">
      <c r="A180" s="156" t="s">
        <v>267</v>
      </c>
      <c r="B180" s="156"/>
      <c r="C180" s="156" t="s">
        <v>271</v>
      </c>
      <c r="D180" s="272">
        <f>IF(C178&gt;C167,HLOOKUP($B$7,TAB!B275:I282,F173),0)</f>
        <v>0</v>
      </c>
      <c r="E180" s="266">
        <f>D180*12</f>
        <v>0</v>
      </c>
      <c r="F180" s="210"/>
      <c r="G180" s="210"/>
      <c r="H180" s="128"/>
      <c r="I180" s="453"/>
      <c r="J180" s="217"/>
      <c r="K180" s="562"/>
      <c r="L180" s="121"/>
      <c r="M180" s="121"/>
    </row>
    <row r="181" spans="1:13" s="29" customFormat="1" ht="14.25" customHeight="1" hidden="1" thickTop="1">
      <c r="A181" s="195" t="s">
        <v>189</v>
      </c>
      <c r="E181" s="196">
        <f>SUM(E179:E180)</f>
        <v>0</v>
      </c>
      <c r="F181" s="197" t="s">
        <v>220</v>
      </c>
      <c r="G181" s="459">
        <f>E181/1936.27</f>
        <v>0</v>
      </c>
      <c r="H181" s="198" t="s">
        <v>75</v>
      </c>
      <c r="I181" s="436">
        <f>E181/12</f>
        <v>0</v>
      </c>
      <c r="J181" s="217"/>
      <c r="K181" s="562"/>
      <c r="L181" s="121"/>
      <c r="M181" s="121"/>
    </row>
    <row r="182" spans="1:13" s="29" customFormat="1" ht="14.25" customHeight="1" hidden="1">
      <c r="A182" s="195"/>
      <c r="E182" s="196"/>
      <c r="F182" s="197"/>
      <c r="G182" s="198"/>
      <c r="I182" s="453"/>
      <c r="J182" s="217"/>
      <c r="K182" s="562"/>
      <c r="L182" s="121"/>
      <c r="M182" s="121"/>
    </row>
    <row r="183" spans="1:13" s="29" customFormat="1" ht="13.5" customHeight="1" hidden="1">
      <c r="A183" s="29">
        <f>IF(D186=C185,$A$4,2)</f>
        <v>2</v>
      </c>
      <c r="D183" s="212">
        <f>IF(D186=C185,F187,2)</f>
        <v>2</v>
      </c>
      <c r="E183" s="267">
        <f>IF(D186=C185,C185,2)</f>
        <v>2</v>
      </c>
      <c r="F183" s="29">
        <f>IF(C185=D186,$E$4,2)</f>
        <v>2</v>
      </c>
      <c r="I183" s="453"/>
      <c r="J183" s="217"/>
      <c r="K183" s="562"/>
      <c r="L183" s="121"/>
      <c r="M183" s="121"/>
    </row>
    <row r="184" spans="1:13" s="29" customFormat="1" ht="14.25" customHeight="1" hidden="1" thickBot="1">
      <c r="A184" s="268" t="s">
        <v>98</v>
      </c>
      <c r="B184" s="162">
        <f>F187</f>
        <v>15</v>
      </c>
      <c r="C184" s="248"/>
      <c r="D184" s="199" t="s">
        <v>162</v>
      </c>
      <c r="E184" s="170">
        <f>IF(B184&lt;3,0,IF(B184&lt;9,3,IF(B184&lt;15,9,IF(B184&lt;21,15,IF(B184&lt;28,21,IF(B184&lt;35,28,IF(B184&lt;40,35)))))))</f>
        <v>15</v>
      </c>
      <c r="F184" s="161">
        <f>IF(E184&lt;3,2,IF(E184&lt;9,3,IF(E184&lt;15,4,IF(E184&lt;21,5,IF(E184&lt;28,6,IF(E184&lt;35,7,IF(E184&lt;40,8)))))))</f>
        <v>5</v>
      </c>
      <c r="G184" s="200" t="s">
        <v>201</v>
      </c>
      <c r="H184" s="433"/>
      <c r="I184" s="453"/>
      <c r="J184" s="217"/>
      <c r="K184" s="562"/>
      <c r="L184" s="121"/>
      <c r="M184" s="121"/>
    </row>
    <row r="185" spans="1:13" s="29" customFormat="1" ht="14.25" customHeight="1" hidden="1">
      <c r="A185" s="138" t="s">
        <v>140</v>
      </c>
      <c r="B185" s="139">
        <f>C174</f>
        <v>37826</v>
      </c>
      <c r="C185" s="139">
        <f>IF(C186&lt;C174,B185,C186)</f>
        <v>37826</v>
      </c>
      <c r="D185" s="269"/>
      <c r="E185" s="122">
        <f>IF(B185&gt;1,DAYS360(B185,C185),0)</f>
        <v>0</v>
      </c>
      <c r="F185" s="201">
        <f>INT(E185/360)</f>
        <v>0</v>
      </c>
      <c r="G185" s="202">
        <f>INT(INT(E185-(F185*360))/30)</f>
        <v>0</v>
      </c>
      <c r="H185" s="434">
        <f>E185-(F185*360)-(G185*30)</f>
        <v>0</v>
      </c>
      <c r="I185" s="453"/>
      <c r="J185" s="217"/>
      <c r="K185" s="562"/>
      <c r="L185" s="121"/>
      <c r="M185" s="121"/>
    </row>
    <row r="186" spans="1:13" s="29" customFormat="1" ht="13.5" customHeight="1" hidden="1">
      <c r="A186" s="166"/>
      <c r="B186" s="166"/>
      <c r="C186" s="274">
        <v>36892</v>
      </c>
      <c r="D186" s="271">
        <f>$E$53</f>
        <v>39715</v>
      </c>
      <c r="I186" s="453"/>
      <c r="J186" s="217"/>
      <c r="K186" s="562"/>
      <c r="L186" s="121"/>
      <c r="M186" s="121"/>
    </row>
    <row r="187" spans="1:13" s="29" customFormat="1" ht="13.5" customHeight="1" hidden="1">
      <c r="A187" s="156" t="s">
        <v>269</v>
      </c>
      <c r="B187" s="153"/>
      <c r="C187" s="153"/>
      <c r="D187" s="232">
        <f>C185</f>
        <v>37826</v>
      </c>
      <c r="E187" s="204">
        <f>E176+E185</f>
        <v>5709</v>
      </c>
      <c r="F187" s="201">
        <f>INT(E187/360)</f>
        <v>15</v>
      </c>
      <c r="G187" s="202">
        <f>INT(INT(E187-(F187*360))/30)</f>
        <v>10</v>
      </c>
      <c r="H187" s="434">
        <f>E187-(F187*360)-(G187*30)</f>
        <v>9</v>
      </c>
      <c r="I187" s="453"/>
      <c r="J187" s="217"/>
      <c r="K187" s="562"/>
      <c r="L187" s="121"/>
      <c r="M187" s="121"/>
    </row>
    <row r="188" spans="1:13" s="29" customFormat="1" ht="13.5" customHeight="1" hidden="1">
      <c r="A188" s="156"/>
      <c r="B188" s="153"/>
      <c r="C188" s="153"/>
      <c r="D188" s="153"/>
      <c r="E188" s="204"/>
      <c r="F188" s="127"/>
      <c r="G188" s="128"/>
      <c r="H188" s="128"/>
      <c r="I188" s="453"/>
      <c r="J188" s="217"/>
      <c r="K188" s="562"/>
      <c r="L188" s="121"/>
      <c r="M188" s="121"/>
    </row>
    <row r="189" spans="1:13" s="276" customFormat="1" ht="13.5" customHeight="1" hidden="1">
      <c r="A189" s="156" t="s">
        <v>268</v>
      </c>
      <c r="B189" s="153"/>
      <c r="C189" s="232">
        <f>C185</f>
        <v>37826</v>
      </c>
      <c r="D189" s="153"/>
      <c r="E189" s="204"/>
      <c r="F189" s="127"/>
      <c r="G189" s="128"/>
      <c r="H189" s="128"/>
      <c r="I189" s="455"/>
      <c r="J189" s="558"/>
      <c r="K189" s="562"/>
      <c r="L189" s="559"/>
      <c r="M189" s="559"/>
    </row>
    <row r="190" spans="1:13" s="29" customFormat="1" ht="13.5" customHeight="1" hidden="1">
      <c r="A190" s="156" t="s">
        <v>237</v>
      </c>
      <c r="B190" s="156"/>
      <c r="C190" s="156" t="s">
        <v>271</v>
      </c>
      <c r="E190" s="265">
        <f>IF(C189&gt;C178,HLOOKUP($B$7,TAB!B310:I317,F184),0)</f>
        <v>0</v>
      </c>
      <c r="F190" s="210" t="s">
        <v>152</v>
      </c>
      <c r="G190" s="181" t="str">
        <f>IF(E184=0,"0 - 2",IF(E184=3,"3 - 8",IF(E184=9,"9 - 14",IF(E184=15,"15 - 20",IF(E184=21,"21 - 27",IF(E184=28,"28 - 35",IF(E184=35,"35")))))))</f>
        <v>15 - 20</v>
      </c>
      <c r="H190" s="203" t="str">
        <f>IF(B184&lt;=14,"PRIMA",IF(B184&lt;=28,"SECONDA","TERZA"))</f>
        <v>SECONDA</v>
      </c>
      <c r="I190" s="439"/>
      <c r="J190" s="217"/>
      <c r="K190" s="562"/>
      <c r="L190" s="121"/>
      <c r="M190" s="121"/>
    </row>
    <row r="191" spans="1:13" s="29" customFormat="1" ht="13.5" customHeight="1" hidden="1" thickBot="1">
      <c r="A191" s="156" t="s">
        <v>273</v>
      </c>
      <c r="B191" s="156"/>
      <c r="C191" s="156"/>
      <c r="D191" s="272"/>
      <c r="E191" s="266">
        <f>IF(B7="AA",0,IF(B7="CS",0,IF(B7="RA",0,HLOOKUP(B7,TAB!B320:F327,F184))))</f>
        <v>0</v>
      </c>
      <c r="F191" s="210"/>
      <c r="G191" s="210"/>
      <c r="H191" s="128"/>
      <c r="I191" s="438"/>
      <c r="J191" s="556"/>
      <c r="K191" s="562"/>
      <c r="L191" s="121"/>
      <c r="M191" s="121"/>
    </row>
    <row r="192" spans="1:13" s="29" customFormat="1" ht="13.5" customHeight="1" hidden="1" thickTop="1">
      <c r="A192" s="195" t="s">
        <v>189</v>
      </c>
      <c r="E192" s="265">
        <f>SUM(E190:E191)</f>
        <v>0</v>
      </c>
      <c r="F192" s="197" t="s">
        <v>220</v>
      </c>
      <c r="G192" s="198">
        <f>E192/1936.27</f>
        <v>0</v>
      </c>
      <c r="H192" s="198" t="s">
        <v>75</v>
      </c>
      <c r="I192" s="436">
        <f>E192/12</f>
        <v>0</v>
      </c>
      <c r="J192" s="217"/>
      <c r="K192" s="562"/>
      <c r="L192" s="121"/>
      <c r="M192" s="121"/>
    </row>
    <row r="193" spans="1:13" s="29" customFormat="1" ht="13.5" customHeight="1" hidden="1">
      <c r="A193" s="410"/>
      <c r="E193" s="411"/>
      <c r="F193" s="197"/>
      <c r="G193" s="198"/>
      <c r="H193" s="198"/>
      <c r="I193" s="453"/>
      <c r="J193" s="217"/>
      <c r="K193" s="562"/>
      <c r="L193" s="121"/>
      <c r="M193" s="121"/>
    </row>
    <row r="194" spans="1:13" s="29" customFormat="1" ht="13.5" customHeight="1" hidden="1">
      <c r="A194" s="29">
        <f>IF(A183=2,IF(D197=C196,$A$4,2),2)</f>
        <v>2</v>
      </c>
      <c r="D194" s="212">
        <f>IF(D197=C196,F198,2)</f>
        <v>2</v>
      </c>
      <c r="E194" s="267">
        <f>IF(D197=C196,C196,2)</f>
        <v>2</v>
      </c>
      <c r="F194" s="29">
        <f>IF(A183=2,IF(C196=D197,$E$4,2),2)</f>
        <v>2</v>
      </c>
      <c r="I194" s="453"/>
      <c r="J194" s="217"/>
      <c r="K194" s="562"/>
      <c r="L194" s="121"/>
      <c r="M194" s="121"/>
    </row>
    <row r="195" spans="1:13" s="29" customFormat="1" ht="14.25" customHeight="1" hidden="1" thickBot="1">
      <c r="A195" s="268" t="s">
        <v>98</v>
      </c>
      <c r="B195" s="162">
        <f>F198</f>
        <v>15</v>
      </c>
      <c r="C195" s="248"/>
      <c r="D195" s="199" t="s">
        <v>162</v>
      </c>
      <c r="E195" s="170">
        <f>IF(B195&lt;3,0,IF(B195&lt;9,3,IF(B195&lt;15,9,IF(B195&lt;21,15,IF(B195&lt;28,21,IF(B195&lt;35,28,IF(B195&lt;40,35)))))))</f>
        <v>15</v>
      </c>
      <c r="F195" s="161">
        <f>IF(E195&lt;3,2,IF(E195&lt;9,3,IF(E195&lt;15,4,IF(E195&lt;21,5,IF(E195&lt;28,6,IF(E195&lt;35,7,IF(E195&lt;40,8)))))))</f>
        <v>5</v>
      </c>
      <c r="G195" s="200" t="s">
        <v>201</v>
      </c>
      <c r="H195" s="433"/>
      <c r="I195" s="453"/>
      <c r="J195" s="217"/>
      <c r="K195" s="562"/>
      <c r="L195" s="121"/>
      <c r="M195" s="121"/>
    </row>
    <row r="196" spans="1:13" s="29" customFormat="1" ht="14.25" customHeight="1" hidden="1">
      <c r="A196" s="138" t="s">
        <v>140</v>
      </c>
      <c r="B196" s="139">
        <f>C185</f>
        <v>37826</v>
      </c>
      <c r="C196" s="139">
        <f>IF(AND(D197&gt;C186,D197&lt;C208),D197,B196)</f>
        <v>37826</v>
      </c>
      <c r="D196" s="269"/>
      <c r="E196" s="122">
        <f>IF(B196&gt;1,DAYS360(B196,C196),0)</f>
        <v>0</v>
      </c>
      <c r="F196" s="201">
        <f>INT(E196/360)</f>
        <v>0</v>
      </c>
      <c r="G196" s="202">
        <f>INT(INT(E196-(F196*360))/30)</f>
        <v>0</v>
      </c>
      <c r="H196" s="434">
        <f>E196-(F196*360)-(G196*30)</f>
        <v>0</v>
      </c>
      <c r="I196" s="453"/>
      <c r="J196" s="217"/>
      <c r="K196" s="562"/>
      <c r="L196" s="121"/>
      <c r="M196" s="121"/>
    </row>
    <row r="197" spans="1:13" s="29" customFormat="1" ht="14.25" customHeight="1" hidden="1">
      <c r="A197" s="166"/>
      <c r="B197" s="166"/>
      <c r="C197" s="155" t="s">
        <v>270</v>
      </c>
      <c r="D197" s="271">
        <f>$E$53</f>
        <v>39715</v>
      </c>
      <c r="I197" s="453"/>
      <c r="J197" s="217"/>
      <c r="K197" s="562"/>
      <c r="L197" s="121"/>
      <c r="M197" s="121"/>
    </row>
    <row r="198" spans="1:13" s="29" customFormat="1" ht="14.25" customHeight="1" hidden="1">
      <c r="A198" s="156" t="s">
        <v>269</v>
      </c>
      <c r="B198" s="153"/>
      <c r="C198" s="153"/>
      <c r="D198" s="232">
        <f>C196</f>
        <v>37826</v>
      </c>
      <c r="E198" s="204">
        <f>E187+E196</f>
        <v>5709</v>
      </c>
      <c r="F198" s="201">
        <f>INT(E198/360)</f>
        <v>15</v>
      </c>
      <c r="G198" s="202">
        <f>INT(INT(E198-(F198*360))/30)</f>
        <v>10</v>
      </c>
      <c r="H198" s="434">
        <f>E198-(F198*360)-(G198*30)</f>
        <v>9</v>
      </c>
      <c r="I198" s="453"/>
      <c r="J198" s="217"/>
      <c r="K198" s="562"/>
      <c r="L198" s="121"/>
      <c r="M198" s="121"/>
    </row>
    <row r="199" spans="1:13" s="29" customFormat="1" ht="13.5" customHeight="1" hidden="1">
      <c r="A199" s="156"/>
      <c r="B199" s="153"/>
      <c r="C199" s="153"/>
      <c r="D199" s="153"/>
      <c r="E199" s="204"/>
      <c r="F199" s="127"/>
      <c r="G199" s="128"/>
      <c r="H199" s="128"/>
      <c r="I199" s="454"/>
      <c r="J199" s="555"/>
      <c r="K199" s="562"/>
      <c r="L199" s="121"/>
      <c r="M199" s="121"/>
    </row>
    <row r="200" spans="1:13" s="29" customFormat="1" ht="13.5" customHeight="1" hidden="1">
      <c r="A200" s="156" t="s">
        <v>268</v>
      </c>
      <c r="B200" s="153"/>
      <c r="C200" s="232">
        <f>C196</f>
        <v>37826</v>
      </c>
      <c r="D200" s="153"/>
      <c r="E200" s="204"/>
      <c r="F200" s="127"/>
      <c r="G200" s="128"/>
      <c r="H200" s="128"/>
      <c r="I200" s="453"/>
      <c r="J200" s="217"/>
      <c r="K200" s="562"/>
      <c r="L200" s="121"/>
      <c r="M200" s="121"/>
    </row>
    <row r="201" spans="1:13" s="29" customFormat="1" ht="13.5" customHeight="1" hidden="1">
      <c r="A201" s="156" t="s">
        <v>237</v>
      </c>
      <c r="B201" s="156"/>
      <c r="C201" s="156" t="s">
        <v>271</v>
      </c>
      <c r="E201" s="265">
        <f>IF(C200&gt;C189,HLOOKUP($B$7,TAB!B310:I317,F195),0)</f>
        <v>0</v>
      </c>
      <c r="F201" s="210" t="s">
        <v>152</v>
      </c>
      <c r="G201" s="210" t="str">
        <f>IF(E195=0,"0 - 2",IF(E195=3,"3 - 8",IF(E195=9,"9 - 14",IF(E195=15,"15 - 20",IF(E195=21,"21 - 27",IF(E195=28,"28 - 35",IF(E195=35,"35")))))))</f>
        <v>15 - 20</v>
      </c>
      <c r="H201" s="210" t="str">
        <f>IF(B195&lt;=14,"PRIMA",IF(B195&lt;=28,"SECONDA","TERZA"))</f>
        <v>SECONDA</v>
      </c>
      <c r="I201" s="453"/>
      <c r="J201" s="217"/>
      <c r="K201" s="562"/>
      <c r="L201" s="121"/>
      <c r="M201" s="121"/>
    </row>
    <row r="202" spans="1:13" s="29" customFormat="1" ht="13.5" customHeight="1" hidden="1" thickBot="1">
      <c r="A202" s="156" t="s">
        <v>273</v>
      </c>
      <c r="B202" s="156"/>
      <c r="C202" s="156"/>
      <c r="D202" s="272"/>
      <c r="E202" s="266">
        <f>IF(B7="AA",0,IF(B7="CS",0,IF(B7="RA",0,IF(C200&gt;C189,HLOOKUP(B7,TAB!B320:F327,F195),0))))</f>
        <v>0</v>
      </c>
      <c r="F202" s="210"/>
      <c r="G202" s="210"/>
      <c r="H202" s="210"/>
      <c r="I202" s="453"/>
      <c r="J202" s="217"/>
      <c r="K202" s="562"/>
      <c r="L202" s="121"/>
      <c r="M202" s="121"/>
    </row>
    <row r="203" spans="1:13" s="29" customFormat="1" ht="14.25" customHeight="1" hidden="1" thickTop="1">
      <c r="A203" s="156" t="s">
        <v>189</v>
      </c>
      <c r="B203" s="156"/>
      <c r="C203" s="156"/>
      <c r="E203" s="265">
        <f>SUM(E201:E202)</f>
        <v>0</v>
      </c>
      <c r="F203" s="265" t="s">
        <v>220</v>
      </c>
      <c r="G203" s="198">
        <f>E203/1936.27</f>
        <v>0</v>
      </c>
      <c r="H203" s="210" t="s">
        <v>221</v>
      </c>
      <c r="I203" s="436">
        <f>E203/12</f>
        <v>0</v>
      </c>
      <c r="J203" s="217"/>
      <c r="K203" s="562"/>
      <c r="L203" s="121"/>
      <c r="M203" s="121"/>
    </row>
    <row r="204" spans="1:13" s="29" customFormat="1" ht="14.25" customHeight="1" hidden="1">
      <c r="A204" s="195"/>
      <c r="E204" s="196"/>
      <c r="F204" s="265"/>
      <c r="G204" s="198"/>
      <c r="I204" s="453"/>
      <c r="J204" s="217"/>
      <c r="K204" s="562"/>
      <c r="L204" s="121"/>
      <c r="M204" s="121"/>
    </row>
    <row r="205" spans="1:13" s="29" customFormat="1" ht="13.5" customHeight="1" hidden="1">
      <c r="A205" s="29">
        <f>IF(D208=C207,$A$4,2)</f>
        <v>2</v>
      </c>
      <c r="D205" s="212">
        <f>IF(D208=C207,F209,2)</f>
        <v>2</v>
      </c>
      <c r="E205" s="267">
        <f>IF(D208=C207,C207,2)</f>
        <v>2</v>
      </c>
      <c r="F205" s="29">
        <f>IF(C207=D208,$E$4,2)</f>
        <v>2</v>
      </c>
      <c r="I205" s="453"/>
      <c r="J205" s="217"/>
      <c r="K205" s="562"/>
      <c r="L205" s="121"/>
      <c r="M205" s="121"/>
    </row>
    <row r="206" spans="1:13" s="29" customFormat="1" ht="14.25" customHeight="1" hidden="1" thickBot="1">
      <c r="A206" s="268" t="s">
        <v>98</v>
      </c>
      <c r="B206" s="162">
        <f>F209</f>
        <v>15</v>
      </c>
      <c r="C206" s="248"/>
      <c r="D206" s="199" t="s">
        <v>162</v>
      </c>
      <c r="E206" s="170">
        <f>IF(B206&lt;3,0,IF(B206&lt;9,3,IF(B206&lt;15,9,IF(B206&lt;21,15,IF(B206&lt;28,21,IF(B206&lt;35,28,IF(B206&lt;40,35)))))))</f>
        <v>15</v>
      </c>
      <c r="F206" s="161">
        <f>IF(E206&lt;3,2,IF(E206&lt;9,3,IF(E206&lt;15,4,IF(E206&lt;21,5,IF(E206&lt;28,6,IF(E206&lt;35,7,IF(E206&lt;40,8)))))))</f>
        <v>5</v>
      </c>
      <c r="G206" s="200" t="s">
        <v>201</v>
      </c>
      <c r="H206" s="433"/>
      <c r="I206" s="453"/>
      <c r="J206" s="217"/>
      <c r="K206" s="562"/>
      <c r="L206" s="121"/>
      <c r="M206" s="121"/>
    </row>
    <row r="207" spans="1:13" s="29" customFormat="1" ht="14.25" customHeight="1" hidden="1">
      <c r="A207" s="138" t="s">
        <v>140</v>
      </c>
      <c r="B207" s="139">
        <f>C196</f>
        <v>37826</v>
      </c>
      <c r="C207" s="139">
        <f>IF(C208&lt;C196,B207,C208)</f>
        <v>37826</v>
      </c>
      <c r="D207" s="269"/>
      <c r="E207" s="122">
        <f>IF(B207&gt;1,DAYS360(B207,C207),0)</f>
        <v>0</v>
      </c>
      <c r="F207" s="201">
        <f>INT(E207/360)</f>
        <v>0</v>
      </c>
      <c r="G207" s="202">
        <f>INT(INT(E207-(F207*360))/30)</f>
        <v>0</v>
      </c>
      <c r="H207" s="434">
        <f>E207-(F207*360)-(G207*30)</f>
        <v>0</v>
      </c>
      <c r="I207" s="453"/>
      <c r="J207" s="217"/>
      <c r="K207" s="562"/>
      <c r="L207" s="121"/>
      <c r="M207" s="121"/>
    </row>
    <row r="208" spans="1:13" s="29" customFormat="1" ht="13.5" customHeight="1" hidden="1">
      <c r="A208" s="166"/>
      <c r="B208" s="166"/>
      <c r="C208" s="274">
        <v>37257</v>
      </c>
      <c r="D208" s="271">
        <f>$E$53</f>
        <v>39715</v>
      </c>
      <c r="I208" s="453"/>
      <c r="J208" s="217"/>
      <c r="K208" s="562"/>
      <c r="L208" s="121"/>
      <c r="M208" s="121"/>
    </row>
    <row r="209" spans="1:13" s="29" customFormat="1" ht="13.5" customHeight="1" hidden="1">
      <c r="A209" s="156" t="s">
        <v>269</v>
      </c>
      <c r="B209" s="153"/>
      <c r="C209" s="153"/>
      <c r="D209" s="232">
        <f>C207</f>
        <v>37826</v>
      </c>
      <c r="E209" s="204">
        <f>E198+E207</f>
        <v>5709</v>
      </c>
      <c r="F209" s="201">
        <f>INT(E209/360)</f>
        <v>15</v>
      </c>
      <c r="G209" s="202">
        <f>INT(INT(E209-(F209*360))/30)</f>
        <v>10</v>
      </c>
      <c r="H209" s="434">
        <f>E209-(F209*360)-(G209*30)</f>
        <v>9</v>
      </c>
      <c r="I209" s="453"/>
      <c r="J209" s="217"/>
      <c r="K209" s="562"/>
      <c r="L209" s="121"/>
      <c r="M209" s="121"/>
    </row>
    <row r="210" spans="1:13" s="29" customFormat="1" ht="13.5" customHeight="1" hidden="1">
      <c r="A210" s="156"/>
      <c r="B210" s="153"/>
      <c r="C210" s="153"/>
      <c r="D210" s="153"/>
      <c r="E210" s="204"/>
      <c r="F210" s="127"/>
      <c r="G210" s="128"/>
      <c r="H210" s="128"/>
      <c r="I210" s="453"/>
      <c r="J210" s="217"/>
      <c r="K210" s="562"/>
      <c r="L210" s="121"/>
      <c r="M210" s="121"/>
    </row>
    <row r="211" spans="1:13" s="276" customFormat="1" ht="13.5" customHeight="1" hidden="1">
      <c r="A211" s="156" t="s">
        <v>268</v>
      </c>
      <c r="B211" s="156"/>
      <c r="C211" s="232">
        <f>C207</f>
        <v>37826</v>
      </c>
      <c r="D211" s="156"/>
      <c r="E211" s="156"/>
      <c r="F211" s="156"/>
      <c r="G211" s="156"/>
      <c r="H211" s="156"/>
      <c r="I211" s="455"/>
      <c r="J211" s="558"/>
      <c r="K211" s="562"/>
      <c r="L211" s="559"/>
      <c r="M211" s="559"/>
    </row>
    <row r="212" spans="1:13" s="29" customFormat="1" ht="13.5" customHeight="1" hidden="1">
      <c r="A212" s="156" t="s">
        <v>237</v>
      </c>
      <c r="B212" s="156"/>
      <c r="C212" s="156" t="s">
        <v>271</v>
      </c>
      <c r="D212" s="156"/>
      <c r="E212" s="156">
        <f>IF(C211&gt;C200,HLOOKUP($B$7,TAB!B310:I317,F206),0)</f>
        <v>0</v>
      </c>
      <c r="F212" s="156" t="s">
        <v>152</v>
      </c>
      <c r="G212" s="156" t="str">
        <f>IF(E206=0,"0 - 2",IF(E206=3,"3 - 8",IF(E206=9,"9 - 14",IF(E206=15,"15 - 20",IF(E206=21,"21 - 27",IF(E206=28,"28 - 35",IF(E206=35,"35")))))))</f>
        <v>15 - 20</v>
      </c>
      <c r="H212" s="156" t="str">
        <f>IF(B206&lt;=14,"PRIMA",IF(B206&lt;=28,"SECONDA","TERZA"))</f>
        <v>SECONDA</v>
      </c>
      <c r="I212" s="439"/>
      <c r="J212" s="217"/>
      <c r="K212" s="562"/>
      <c r="L212" s="121"/>
      <c r="M212" s="121"/>
    </row>
    <row r="213" spans="1:13" s="29" customFormat="1" ht="13.5" customHeight="1" hidden="1">
      <c r="A213" s="156" t="s">
        <v>19</v>
      </c>
      <c r="B213" s="156"/>
      <c r="C213" s="156" t="s">
        <v>31</v>
      </c>
      <c r="D213" s="475">
        <f>IF(C211&gt;C200,HLOOKUP($B$7,TAB!B338:I345,F206),0)</f>
        <v>0</v>
      </c>
      <c r="E213" s="156">
        <f>D213*12*1936.27</f>
        <v>0</v>
      </c>
      <c r="F213" s="156"/>
      <c r="G213" s="156"/>
      <c r="H213" s="156"/>
      <c r="I213" s="439"/>
      <c r="J213" s="217"/>
      <c r="K213" s="562"/>
      <c r="L213" s="121"/>
      <c r="M213" s="121"/>
    </row>
    <row r="214" spans="1:13" s="29" customFormat="1" ht="13.5" customHeight="1" hidden="1" thickBot="1">
      <c r="A214" s="156" t="s">
        <v>273</v>
      </c>
      <c r="B214" s="156"/>
      <c r="C214" s="156"/>
      <c r="D214" s="475">
        <f>IF(B7="AA",0,IF(B7="CS",0,IF(B7="RA",0,HLOOKUP(B7,TAB!B372:F379,F206))))</f>
        <v>0</v>
      </c>
      <c r="E214" s="476">
        <f>IF(E212=0,0,D214*1936.27)</f>
        <v>0</v>
      </c>
      <c r="F214" s="156"/>
      <c r="G214" s="156"/>
      <c r="H214" s="156"/>
      <c r="I214" s="438"/>
      <c r="J214" s="556"/>
      <c r="K214" s="562"/>
      <c r="L214" s="121"/>
      <c r="M214" s="121"/>
    </row>
    <row r="215" spans="1:13" s="29" customFormat="1" ht="13.5" customHeight="1" hidden="1" thickTop="1">
      <c r="A215" s="156" t="s">
        <v>189</v>
      </c>
      <c r="B215" s="156"/>
      <c r="C215" s="156"/>
      <c r="D215" s="156"/>
      <c r="E215" s="156">
        <f>SUM(E212:E214)</f>
        <v>0</v>
      </c>
      <c r="F215" s="156" t="s">
        <v>220</v>
      </c>
      <c r="G215" s="156">
        <f>E215/1936.27</f>
        <v>0</v>
      </c>
      <c r="H215" s="477" t="s">
        <v>75</v>
      </c>
      <c r="I215" s="436">
        <f>E215/12</f>
        <v>0</v>
      </c>
      <c r="J215" s="217"/>
      <c r="K215" s="562"/>
      <c r="L215" s="121"/>
      <c r="M215" s="121"/>
    </row>
    <row r="216" spans="1:13" s="29" customFormat="1" ht="13.5" customHeight="1" hidden="1">
      <c r="A216" s="195"/>
      <c r="E216" s="196"/>
      <c r="F216" s="197"/>
      <c r="G216" s="198"/>
      <c r="H216" s="198"/>
      <c r="I216" s="453"/>
      <c r="J216" s="217"/>
      <c r="K216" s="562"/>
      <c r="L216" s="121"/>
      <c r="M216" s="121"/>
    </row>
    <row r="217" spans="1:13" s="29" customFormat="1" ht="13.5" customHeight="1" hidden="1">
      <c r="A217" s="29">
        <f>IF(D220=C219,$A$4,2)</f>
        <v>2</v>
      </c>
      <c r="D217" s="212">
        <f>IF(D220=C219,F221,2)</f>
        <v>2</v>
      </c>
      <c r="E217" s="267">
        <f>IF(D220=C219,C219,2)</f>
        <v>2</v>
      </c>
      <c r="F217" s="29">
        <f>IF(C219=D220,$E$4,2)</f>
        <v>2</v>
      </c>
      <c r="I217" s="453"/>
      <c r="J217" s="217"/>
      <c r="K217" s="562"/>
      <c r="L217" s="121"/>
      <c r="M217" s="121"/>
    </row>
    <row r="218" spans="1:13" s="29" customFormat="1" ht="14.25" customHeight="1" hidden="1" thickBot="1">
      <c r="A218" s="268" t="s">
        <v>98</v>
      </c>
      <c r="B218" s="162">
        <f>F221</f>
        <v>15</v>
      </c>
      <c r="C218" s="248"/>
      <c r="D218" s="199" t="s">
        <v>162</v>
      </c>
      <c r="E218" s="170">
        <f>IF(B218&lt;3,0,IF(B218&lt;9,3,IF(B218&lt;15,9,IF(B218&lt;21,15,IF(B218&lt;28,21,IF(B218&lt;35,28,IF(B218&lt;40,35)))))))</f>
        <v>15</v>
      </c>
      <c r="F218" s="161">
        <f>IF(E218&lt;3,2,IF(E218&lt;9,3,IF(E218&lt;15,4,IF(E218&lt;21,5,IF(E218&lt;28,6,IF(E218&lt;35,7,IF(E218&lt;40,8)))))))</f>
        <v>5</v>
      </c>
      <c r="G218" s="200" t="s">
        <v>201</v>
      </c>
      <c r="H218" s="433"/>
      <c r="I218" s="453"/>
      <c r="J218" s="217"/>
      <c r="K218" s="562"/>
      <c r="L218" s="121"/>
      <c r="M218" s="121"/>
    </row>
    <row r="219" spans="1:13" s="29" customFormat="1" ht="14.25" customHeight="1" hidden="1">
      <c r="A219" s="138" t="s">
        <v>140</v>
      </c>
      <c r="B219" s="139">
        <f>C207</f>
        <v>37826</v>
      </c>
      <c r="C219" s="139">
        <f>IF(AND(D220&gt;C208,D220&lt;C232),D220,B219)</f>
        <v>37826</v>
      </c>
      <c r="D219" s="269"/>
      <c r="E219" s="122">
        <f>IF(B219&gt;1,DAYS360(B219,C219),0)</f>
        <v>0</v>
      </c>
      <c r="F219" s="201">
        <f>INT(E219/360)</f>
        <v>0</v>
      </c>
      <c r="G219" s="202">
        <f>INT(INT(E219-(F219*360))/30)</f>
        <v>0</v>
      </c>
      <c r="H219" s="434">
        <f>E219-(F219*360)-(G219*30)</f>
        <v>0</v>
      </c>
      <c r="I219" s="453"/>
      <c r="J219" s="217"/>
      <c r="K219" s="562"/>
      <c r="L219" s="121"/>
      <c r="M219" s="121"/>
    </row>
    <row r="220" spans="1:13" s="29" customFormat="1" ht="14.25" customHeight="1" hidden="1">
      <c r="A220" s="166"/>
      <c r="B220" s="166"/>
      <c r="C220" s="155" t="s">
        <v>270</v>
      </c>
      <c r="D220" s="271">
        <f>$E$53</f>
        <v>39715</v>
      </c>
      <c r="I220" s="453"/>
      <c r="J220" s="217"/>
      <c r="K220" s="562"/>
      <c r="L220" s="121"/>
      <c r="M220" s="121"/>
    </row>
    <row r="221" spans="1:13" s="29" customFormat="1" ht="14.25" customHeight="1" hidden="1">
      <c r="A221" s="156" t="s">
        <v>269</v>
      </c>
      <c r="B221" s="153"/>
      <c r="C221" s="153"/>
      <c r="D221" s="232">
        <f>C219</f>
        <v>37826</v>
      </c>
      <c r="E221" s="204">
        <f>E209+E219</f>
        <v>5709</v>
      </c>
      <c r="F221" s="201">
        <f>INT(E221/360)</f>
        <v>15</v>
      </c>
      <c r="G221" s="202">
        <f>INT(INT(E221-(F221*360))/30)</f>
        <v>10</v>
      </c>
      <c r="H221" s="434">
        <f>E221-(F221*360)-(G221*30)</f>
        <v>9</v>
      </c>
      <c r="I221" s="453"/>
      <c r="J221" s="217"/>
      <c r="K221" s="562"/>
      <c r="L221" s="121"/>
      <c r="M221" s="121"/>
    </row>
    <row r="222" spans="1:13" s="29" customFormat="1" ht="13.5" customHeight="1" hidden="1">
      <c r="A222" s="156"/>
      <c r="B222" s="153"/>
      <c r="C222" s="153"/>
      <c r="D222" s="153"/>
      <c r="E222" s="204"/>
      <c r="F222" s="127"/>
      <c r="G222" s="128"/>
      <c r="H222" s="128"/>
      <c r="I222" s="454"/>
      <c r="J222" s="555"/>
      <c r="K222" s="562"/>
      <c r="L222" s="121"/>
      <c r="M222" s="121"/>
    </row>
    <row r="223" spans="1:13" s="29" customFormat="1" ht="13.5" customHeight="1" hidden="1">
      <c r="A223" s="156" t="s">
        <v>268</v>
      </c>
      <c r="B223" s="153"/>
      <c r="C223" s="232">
        <f>C219</f>
        <v>37826</v>
      </c>
      <c r="D223" s="153"/>
      <c r="E223" s="204"/>
      <c r="F223" s="127"/>
      <c r="G223" s="128"/>
      <c r="H223" s="128"/>
      <c r="I223" s="453"/>
      <c r="J223" s="217"/>
      <c r="K223" s="562"/>
      <c r="L223" s="121"/>
      <c r="M223" s="121"/>
    </row>
    <row r="224" spans="1:13" s="29" customFormat="1" ht="13.5" customHeight="1" hidden="1">
      <c r="A224" s="156" t="s">
        <v>237</v>
      </c>
      <c r="B224" s="156"/>
      <c r="C224" s="156" t="s">
        <v>271</v>
      </c>
      <c r="E224" s="265">
        <f>IF(C223&gt;C211,HLOOKUP($B$7,TAB!B310:I317,F218),0)</f>
        <v>0</v>
      </c>
      <c r="F224" s="210" t="s">
        <v>152</v>
      </c>
      <c r="G224" s="210" t="str">
        <f>IF(E218=0,"0 - 2",IF(E218=3,"3 - 8",IF(E218=9,"9 - 14",IF(E218=15,"15 - 20",IF(E218=21,"21 - 27",IF(E218=28,"28 - 35",IF(E218=35,"35")))))))</f>
        <v>15 - 20</v>
      </c>
      <c r="H224" s="210" t="str">
        <f>IF(B218&lt;=14,"PRIMA",IF(B218&lt;=28,"SECONDA","TERZA"))</f>
        <v>SECONDA</v>
      </c>
      <c r="I224" s="456"/>
      <c r="J224" s="217"/>
      <c r="K224" s="562"/>
      <c r="L224" s="121"/>
      <c r="M224" s="121"/>
    </row>
    <row r="225" spans="1:13" s="29" customFormat="1" ht="13.5" customHeight="1" hidden="1">
      <c r="A225" s="156" t="s">
        <v>267</v>
      </c>
      <c r="B225" s="156"/>
      <c r="C225" s="156" t="s">
        <v>20</v>
      </c>
      <c r="D225" s="409">
        <f>IF(C223&gt;C211,HLOOKUP($B$7,TAB!B338:I345,F218),0)</f>
        <v>0</v>
      </c>
      <c r="E225" s="265">
        <f>D225*12*1936.27</f>
        <v>0</v>
      </c>
      <c r="F225" s="210"/>
      <c r="G225" s="210"/>
      <c r="H225" s="210"/>
      <c r="I225" s="456"/>
      <c r="J225" s="217"/>
      <c r="K225" s="562"/>
      <c r="L225" s="121"/>
      <c r="M225" s="121"/>
    </row>
    <row r="226" spans="1:13" s="29" customFormat="1" ht="13.5" customHeight="1" hidden="1" thickBot="1">
      <c r="A226" s="156" t="s">
        <v>273</v>
      </c>
      <c r="B226" s="156"/>
      <c r="C226" s="156"/>
      <c r="D226" s="409">
        <f>IF(B7="AA",0,IF(B7="CS",0,IF(B7="RA",0,IF(D221&gt;D209,HLOOKUP(B7,TAB!B372:F379,F218),0))))</f>
        <v>0</v>
      </c>
      <c r="E226" s="266">
        <f>D226*1936.27</f>
        <v>0</v>
      </c>
      <c r="F226" s="210"/>
      <c r="G226" s="210"/>
      <c r="H226" s="210"/>
      <c r="I226" s="456"/>
      <c r="J226" s="556"/>
      <c r="K226" s="562"/>
      <c r="L226" s="121"/>
      <c r="M226" s="121"/>
    </row>
    <row r="227" spans="1:13" s="29" customFormat="1" ht="14.25" customHeight="1" hidden="1" thickTop="1">
      <c r="A227" s="189" t="s">
        <v>189</v>
      </c>
      <c r="B227" s="156"/>
      <c r="C227" s="156"/>
      <c r="E227" s="265">
        <f>SUM(E224:E225)</f>
        <v>0</v>
      </c>
      <c r="F227" s="197" t="s">
        <v>220</v>
      </c>
      <c r="G227" s="198">
        <f>E227/1936.27</f>
        <v>0</v>
      </c>
      <c r="H227" s="458" t="s">
        <v>221</v>
      </c>
      <c r="I227" s="436">
        <f>E227/12</f>
        <v>0</v>
      </c>
      <c r="J227" s="217"/>
      <c r="K227" s="562"/>
      <c r="L227" s="121"/>
      <c r="M227" s="121"/>
    </row>
    <row r="228" spans="1:13" s="29" customFormat="1" ht="14.25" customHeight="1" hidden="1">
      <c r="A228" s="195"/>
      <c r="E228" s="196"/>
      <c r="F228" s="197"/>
      <c r="G228" s="198"/>
      <c r="I228" s="453"/>
      <c r="J228" s="217"/>
      <c r="K228" s="562"/>
      <c r="L228" s="121"/>
      <c r="M228" s="121"/>
    </row>
    <row r="229" spans="1:13" s="29" customFormat="1" ht="13.5" customHeight="1" hidden="1">
      <c r="A229" s="29">
        <f>IF(D232=C231,$A$4,2)</f>
        <v>2</v>
      </c>
      <c r="D229" s="212">
        <f>IF(D232=C231,F233,2)</f>
        <v>2</v>
      </c>
      <c r="E229" s="267">
        <f>IF(D232=C231,C231,2)</f>
        <v>2</v>
      </c>
      <c r="F229" s="29">
        <f>IF(C231=D232,$E$4,2)</f>
        <v>2</v>
      </c>
      <c r="I229" s="453"/>
      <c r="J229" s="217"/>
      <c r="K229" s="562"/>
      <c r="L229" s="121"/>
      <c r="M229" s="121"/>
    </row>
    <row r="230" spans="1:13" s="29" customFormat="1" ht="14.25" customHeight="1" hidden="1" thickBot="1">
      <c r="A230" s="268" t="s">
        <v>98</v>
      </c>
      <c r="B230" s="162">
        <f>F233</f>
        <v>15</v>
      </c>
      <c r="C230" s="248"/>
      <c r="D230" s="199" t="s">
        <v>162</v>
      </c>
      <c r="E230" s="170">
        <f>IF(B230&lt;3,0,IF(B230&lt;9,3,IF(B230&lt;15,9,IF(B230&lt;21,15,IF(B230&lt;28,21,IF(B230&lt;35,28,IF(B230&lt;40,35)))))))</f>
        <v>15</v>
      </c>
      <c r="F230" s="161">
        <f>IF(E230&lt;3,2,IF(E230&lt;9,3,IF(E230&lt;15,4,IF(E230&lt;21,5,IF(E230&lt;28,6,IF(E230&lt;35,7,IF(E230&lt;40,8)))))))</f>
        <v>5</v>
      </c>
      <c r="G230" s="200" t="s">
        <v>201</v>
      </c>
      <c r="H230" s="433"/>
      <c r="I230" s="453"/>
      <c r="J230" s="217"/>
      <c r="K230" s="562"/>
      <c r="L230" s="121"/>
      <c r="M230" s="121"/>
    </row>
    <row r="231" spans="1:13" s="29" customFormat="1" ht="14.25" customHeight="1" hidden="1">
      <c r="A231" s="138" t="s">
        <v>140</v>
      </c>
      <c r="B231" s="139">
        <f>C219</f>
        <v>37826</v>
      </c>
      <c r="C231" s="139">
        <f>IF(C232&lt;C219,B231,C232)</f>
        <v>37826</v>
      </c>
      <c r="D231" s="269"/>
      <c r="E231" s="122">
        <f>IF(B231&gt;1,DAYS360(B231,C231),0)</f>
        <v>0</v>
      </c>
      <c r="F231" s="201">
        <f>INT(E231/360)</f>
        <v>0</v>
      </c>
      <c r="G231" s="202">
        <f>INT(INT(E231-(F231*360))/30)</f>
        <v>0</v>
      </c>
      <c r="H231" s="434">
        <f>E231-(F231*360)-(G231*30)</f>
        <v>0</v>
      </c>
      <c r="I231" s="453"/>
      <c r="J231" s="217"/>
      <c r="K231" s="562"/>
      <c r="L231" s="121"/>
      <c r="M231" s="121"/>
    </row>
    <row r="232" spans="1:13" s="29" customFormat="1" ht="13.5" customHeight="1" hidden="1">
      <c r="A232" s="166"/>
      <c r="B232" s="166"/>
      <c r="C232" s="274">
        <v>37622</v>
      </c>
      <c r="D232" s="271">
        <f>$E$53</f>
        <v>39715</v>
      </c>
      <c r="I232" s="453"/>
      <c r="J232" s="217"/>
      <c r="K232" s="562"/>
      <c r="L232" s="121"/>
      <c r="M232" s="121"/>
    </row>
    <row r="233" spans="1:13" s="29" customFormat="1" ht="13.5" customHeight="1" hidden="1">
      <c r="A233" s="156" t="s">
        <v>269</v>
      </c>
      <c r="B233" s="153"/>
      <c r="C233" s="153"/>
      <c r="D233" s="232">
        <f>C231</f>
        <v>37826</v>
      </c>
      <c r="E233" s="204">
        <f>E221+E231</f>
        <v>5709</v>
      </c>
      <c r="F233" s="201">
        <f>INT(E233/360)</f>
        <v>15</v>
      </c>
      <c r="G233" s="202">
        <f>INT(INT(E233-(F233*360))/30)</f>
        <v>10</v>
      </c>
      <c r="H233" s="434">
        <f>E233-(F233*360)-(G233*30)</f>
        <v>9</v>
      </c>
      <c r="I233" s="453"/>
      <c r="J233" s="217"/>
      <c r="K233" s="562"/>
      <c r="L233" s="121"/>
      <c r="M233" s="121"/>
    </row>
    <row r="234" spans="1:13" s="29" customFormat="1" ht="4.5" customHeight="1" hidden="1">
      <c r="A234" s="156"/>
      <c r="B234" s="153"/>
      <c r="C234" s="153"/>
      <c r="D234" s="153"/>
      <c r="E234" s="204"/>
      <c r="F234" s="127"/>
      <c r="G234" s="128"/>
      <c r="H234" s="128"/>
      <c r="I234" s="453"/>
      <c r="J234" s="217"/>
      <c r="K234" s="562"/>
      <c r="L234" s="121"/>
      <c r="M234" s="121"/>
    </row>
    <row r="235" spans="1:13" s="276" customFormat="1" ht="13.5" customHeight="1" hidden="1">
      <c r="A235" s="156" t="s">
        <v>268</v>
      </c>
      <c r="B235" s="153"/>
      <c r="C235" s="232">
        <f>C231</f>
        <v>37826</v>
      </c>
      <c r="D235" s="153"/>
      <c r="E235" s="204"/>
      <c r="F235" s="127"/>
      <c r="G235" s="128"/>
      <c r="H235" s="203" t="str">
        <f>IF(B230&lt;=14,"PRIMA",IF(B230&lt;=28,"SECONDA","TERZA"))</f>
        <v>SECONDA</v>
      </c>
      <c r="I235" s="455"/>
      <c r="J235" s="558"/>
      <c r="K235" s="562"/>
      <c r="L235" s="559"/>
      <c r="M235" s="559"/>
    </row>
    <row r="236" spans="1:13" s="29" customFormat="1" ht="17.25" customHeight="1" hidden="1">
      <c r="A236" s="156" t="s">
        <v>237</v>
      </c>
      <c r="B236" s="156"/>
      <c r="C236" s="156" t="s">
        <v>31</v>
      </c>
      <c r="E236" s="432">
        <f>IF(C235&gt;C223,HLOOKUP($B$7,TAB!B362:I369,F230),0)</f>
        <v>0</v>
      </c>
      <c r="F236" s="210" t="s">
        <v>152</v>
      </c>
      <c r="G236" s="181" t="str">
        <f>IF(E230=0,"0 - 2",IF(E230=3,"3 - 8",IF(E230=9,"9 - 14",IF(E230=15,"15 - 20",IF(E230=21,"21 - 27",IF(E230=28,"28 - 35",IF(E230=35,"35")))))))</f>
        <v>15 - 20</v>
      </c>
      <c r="H236" s="451" t="s">
        <v>21</v>
      </c>
      <c r="I236" s="439"/>
      <c r="J236" s="217"/>
      <c r="K236" s="562">
        <f>N332</f>
        <v>20</v>
      </c>
      <c r="L236" s="121"/>
      <c r="M236" s="121"/>
    </row>
    <row r="237" spans="1:13" s="29" customFormat="1" ht="13.5" customHeight="1" hidden="1" thickBot="1">
      <c r="A237" s="156" t="s">
        <v>273</v>
      </c>
      <c r="B237" s="156"/>
      <c r="C237" s="156"/>
      <c r="E237" s="469">
        <f>IF(B7="AA",0,IF(B7="CS",0,IF(B7="RA",0,IF($D$233&gt;=D221,0,HLOOKUP(B7,TAB!B382:F389,F230)))))</f>
        <v>0</v>
      </c>
      <c r="F237" s="210"/>
      <c r="G237" s="210"/>
      <c r="H237" s="128"/>
      <c r="I237" s="438"/>
      <c r="J237" s="556"/>
      <c r="K237" s="562">
        <f>N347</f>
        <v>21</v>
      </c>
      <c r="L237" s="121"/>
      <c r="M237" s="121"/>
    </row>
    <row r="238" spans="1:13" s="29" customFormat="1" ht="13.5" customHeight="1" hidden="1" thickTop="1">
      <c r="A238" s="195" t="s">
        <v>189</v>
      </c>
      <c r="E238" s="432">
        <f>SUM(E236:E237)</f>
        <v>0</v>
      </c>
      <c r="F238" s="197"/>
      <c r="G238" s="198"/>
      <c r="H238" s="458" t="s">
        <v>221</v>
      </c>
      <c r="I238" s="432">
        <f>E238/12</f>
        <v>0</v>
      </c>
      <c r="J238" s="217"/>
      <c r="K238" s="562"/>
      <c r="L238" s="121"/>
      <c r="M238" s="121"/>
    </row>
    <row r="239" spans="9:13" s="29" customFormat="1" ht="15" customHeight="1" hidden="1">
      <c r="I239" s="437"/>
      <c r="J239" s="121"/>
      <c r="K239" s="562"/>
      <c r="L239" s="121"/>
      <c r="M239" s="121"/>
    </row>
    <row r="240" spans="9:13" s="29" customFormat="1" ht="15" customHeight="1" hidden="1">
      <c r="I240" s="437"/>
      <c r="J240" s="121"/>
      <c r="K240" s="562"/>
      <c r="L240" s="121"/>
      <c r="M240" s="121"/>
    </row>
    <row r="241" spans="1:13" s="29" customFormat="1" ht="15" customHeight="1">
      <c r="A241" s="537">
        <f>IF(H243=18,"PER COMPIUTA ANZIANITA' DI ANNI 18 L'ANZ SOLO EC SI RICONGIUNGE A QUELLA G.E.",1)</f>
        <v>1</v>
      </c>
      <c r="I241" s="437"/>
      <c r="J241" s="121"/>
      <c r="K241" s="562"/>
      <c r="L241" s="121"/>
      <c r="M241" s="121"/>
    </row>
    <row r="242" spans="1:13" s="29" customFormat="1" ht="18" customHeight="1">
      <c r="A242" s="6">
        <f>IF(F246=3,"PER COMPIUTA ANZIANITA' DI ANNI 3 COMPETE LA SEGUENTE POSIZIONE",IF(F246=9,"PER COMPIUTA ANZIANITA' DI ANNI 9 COMPETE LA SEGUENTE POSIZIONE",IF(F246=15,"PER COMPIUTA ANZIANITA' DI ANNI 15 COMPETE LA SEGUENTE POSIZIONE",IF(F246=21,"PER COMPIUTA ANZIANITA' DI ANNI 21 COMPETE LA SEGUENTE POSIZIONE",IF(F246=28,"PER COMPIUTA ANZIANITA' DI ANNI 28 COMPETE LA SEGUENTE POSIZIONE",IF(F246=35,"PER COMPIUTA ANZIANITA' DI ANNI 35 COMPETE LA SEGUENTE POSIZIONE",0))))))</f>
        <v>0</v>
      </c>
      <c r="B242" s="425"/>
      <c r="C242" s="426"/>
      <c r="D242" s="427"/>
      <c r="E242" s="489"/>
      <c r="F242" s="424"/>
      <c r="G242" s="426"/>
      <c r="H242" s="121"/>
      <c r="I242" s="442"/>
      <c r="J242" s="121"/>
      <c r="L242" s="121"/>
      <c r="M242" s="121"/>
    </row>
    <row r="243" spans="1:13" s="29" customFormat="1" ht="15" customHeight="1">
      <c r="A243" s="443" t="s">
        <v>98</v>
      </c>
      <c r="B243" s="165" t="s">
        <v>34</v>
      </c>
      <c r="C243" s="220"/>
      <c r="D243" s="207">
        <f>D244</f>
        <v>37987</v>
      </c>
      <c r="E243" s="170">
        <f>G248</f>
        <v>15</v>
      </c>
      <c r="F243" s="161">
        <f>IF(E243&lt;3,2,IF(E243&lt;9,3,IF(E243&lt;15,4,IF(E243&lt;21,5,IF(E243&lt;28,6,IF(E243&lt;35,7,IF(E243&lt;41,8)))))))</f>
        <v>5</v>
      </c>
      <c r="G243" s="200" t="s">
        <v>201</v>
      </c>
      <c r="H243" s="567">
        <f>N245</f>
        <v>16</v>
      </c>
      <c r="I243" s="437"/>
      <c r="J243" s="121"/>
      <c r="K243" s="121"/>
      <c r="L243" s="121"/>
      <c r="M243" s="121"/>
    </row>
    <row r="244" spans="1:16" s="29" customFormat="1" ht="15" customHeight="1">
      <c r="A244" s="138" t="s">
        <v>140</v>
      </c>
      <c r="B244" s="139">
        <f>C231</f>
        <v>37826</v>
      </c>
      <c r="C244" s="139">
        <v>37987</v>
      </c>
      <c r="D244" s="166">
        <f>DATEVALUE("1/1/2004")</f>
        <v>37987</v>
      </c>
      <c r="E244" s="122">
        <f>IF(B244&gt;1,DAYS360(B244,C244)+1,0)</f>
        <v>158</v>
      </c>
      <c r="F244" s="221">
        <f>INT(E244/360)</f>
        <v>0</v>
      </c>
      <c r="G244" s="222">
        <f>INT(INT(E244-(F244*360))/30)</f>
        <v>5</v>
      </c>
      <c r="H244" s="435">
        <f>E244-(F244*360)-(G244*30)</f>
        <v>8</v>
      </c>
      <c r="I244" s="437"/>
      <c r="J244" s="544">
        <v>37826</v>
      </c>
      <c r="K244" s="544">
        <v>37987</v>
      </c>
      <c r="L244" s="122">
        <f>K244</f>
        <v>37987</v>
      </c>
      <c r="M244" s="122">
        <f>IF(J244&gt;1,DAYS360(J244,K244)+1,0)</f>
        <v>158</v>
      </c>
      <c r="N244" s="221">
        <f>INT(M244/360)</f>
        <v>0</v>
      </c>
      <c r="O244" s="222">
        <f>INT(INT(M244-(N244*360))/30)</f>
        <v>5</v>
      </c>
      <c r="P244" s="435">
        <f>M244-(N244*360)-(O244*30)</f>
        <v>8</v>
      </c>
    </row>
    <row r="245" spans="9:16" s="29" customFormat="1" ht="15" customHeight="1">
      <c r="I245" s="440"/>
      <c r="J245" s="121"/>
      <c r="K245" s="121"/>
      <c r="L245" s="121"/>
      <c r="M245" s="140">
        <f>M244+H41</f>
        <v>5858</v>
      </c>
      <c r="N245" s="221">
        <f>INT(M245/360)</f>
        <v>16</v>
      </c>
      <c r="O245" s="222">
        <f>INT(INT(M245-(N245*360))/30)</f>
        <v>3</v>
      </c>
      <c r="P245" s="435">
        <f>M245-(N245*360)-(O245*30)</f>
        <v>8</v>
      </c>
    </row>
    <row r="246" spans="1:13" s="29" customFormat="1" ht="15" customHeight="1">
      <c r="A246" s="156" t="s">
        <v>42</v>
      </c>
      <c r="B246" s="153"/>
      <c r="C246" s="153"/>
      <c r="D246" s="153"/>
      <c r="E246" s="204">
        <f>H41+E244</f>
        <v>5858</v>
      </c>
      <c r="F246" s="221">
        <f>INT(E246/360)</f>
        <v>16</v>
      </c>
      <c r="G246" s="222">
        <f>INT(INT(E246-(F246*360))/30)</f>
        <v>3</v>
      </c>
      <c r="H246" s="435">
        <f>E246-(F246*360)-(G246*30)</f>
        <v>8</v>
      </c>
      <c r="I246" s="440"/>
      <c r="J246" s="121"/>
      <c r="K246" s="121"/>
      <c r="L246" s="121"/>
      <c r="M246" s="121"/>
    </row>
    <row r="247" spans="3:9" s="29" customFormat="1" ht="10.5" customHeight="1">
      <c r="C247" s="153"/>
      <c r="D247" s="153"/>
      <c r="E247" s="174"/>
      <c r="F247" s="132"/>
      <c r="G247" s="175"/>
      <c r="H247" s="132"/>
      <c r="I247" s="440"/>
    </row>
    <row r="248" spans="1:9" s="29" customFormat="1" ht="15" customHeight="1">
      <c r="A248" s="152" t="s">
        <v>45</v>
      </c>
      <c r="C248" s="165"/>
      <c r="D248" s="165"/>
      <c r="E248" s="169" t="s">
        <v>151</v>
      </c>
      <c r="G248" s="170">
        <f>IF(F246&lt;3,0,IF(F246&lt;9,3,IF(F246&lt;15,9,IF(F246&lt;21,15,IF(F246&lt;28,21,IF(F246&lt;35,28,IF(F246&lt;40,35)))))))</f>
        <v>15</v>
      </c>
      <c r="H248" s="152" t="s">
        <v>152</v>
      </c>
      <c r="I248" s="450" t="str">
        <f>IF(G248&lt;3,"0-2",IF(G248&lt;9,"3-8",IF(G248&lt;15,"9-14",IF(G248&lt;21,"15-20",IF(G248&lt;28,"21-27",IF(G248&lt;35,"28-35"))))))</f>
        <v>15-20</v>
      </c>
    </row>
    <row r="249" spans="3:13" s="29" customFormat="1" ht="11.25" customHeight="1">
      <c r="C249" s="223"/>
      <c r="D249" s="224"/>
      <c r="F249" s="225"/>
      <c r="G249" s="225"/>
      <c r="H249" s="145"/>
      <c r="I249" s="437"/>
      <c r="J249" s="121"/>
      <c r="K249" s="121"/>
      <c r="L249" s="121"/>
      <c r="M249" s="121"/>
    </row>
    <row r="250" spans="1:9" s="29" customFormat="1" ht="15" customHeight="1">
      <c r="A250" s="205" t="s">
        <v>35</v>
      </c>
      <c r="B250" s="212"/>
      <c r="C250" s="203"/>
      <c r="D250" s="167"/>
      <c r="E250" s="203"/>
      <c r="G250" s="3"/>
      <c r="H250" s="125"/>
      <c r="I250" s="437"/>
    </row>
    <row r="251" spans="1:9" s="29" customFormat="1" ht="15" customHeight="1">
      <c r="A251" s="194" t="s">
        <v>164</v>
      </c>
      <c r="B251" s="194" t="s">
        <v>32</v>
      </c>
      <c r="C251" s="400"/>
      <c r="E251" s="432">
        <f>IF(D233&gt;D243,0,HLOOKUP($B$7,TAB!B422:I429,F243))</f>
        <v>24129.98</v>
      </c>
      <c r="F251" s="121" t="s">
        <v>8</v>
      </c>
      <c r="I251" s="437"/>
    </row>
    <row r="252" spans="1:13" s="29" customFormat="1" ht="15" customHeight="1" thickBot="1">
      <c r="A252" s="194" t="s">
        <v>297</v>
      </c>
      <c r="C252" s="209"/>
      <c r="D252" s="208"/>
      <c r="E252" s="500">
        <f>IF(A242&lt;&gt;0,0,647.79)</f>
        <v>647.79</v>
      </c>
      <c r="I252" s="437"/>
      <c r="J252" s="121"/>
      <c r="K252" s="121"/>
      <c r="L252" s="121"/>
      <c r="M252" s="121"/>
    </row>
    <row r="253" spans="1:9" s="29" customFormat="1" ht="15" customHeight="1" thickTop="1">
      <c r="A253" s="194" t="s">
        <v>163</v>
      </c>
      <c r="B253" s="212"/>
      <c r="C253" s="213"/>
      <c r="D253" s="203"/>
      <c r="E253" s="432">
        <f>SUM(E251:E252)</f>
        <v>24777.77</v>
      </c>
      <c r="F253" s="197"/>
      <c r="G253" s="198"/>
      <c r="H253" s="458" t="s">
        <v>221</v>
      </c>
      <c r="I253" s="460">
        <f>E253/12</f>
        <v>2064.8141666666666</v>
      </c>
    </row>
    <row r="254" spans="1:13" s="29" customFormat="1" ht="15" customHeight="1">
      <c r="A254" s="537">
        <f>IF(AND(H256=18,A241=1),"PER COMPIUTA ANZIANITA' DI ANNI 18 L'ANZ SOLO EC SI RICONGIUNGE A QUELLA G.E.",1)</f>
        <v>1</v>
      </c>
      <c r="B254" s="212"/>
      <c r="C254" s="213"/>
      <c r="D254" s="203"/>
      <c r="E254" s="196"/>
      <c r="F254" s="197"/>
      <c r="G254" s="198"/>
      <c r="I254" s="436"/>
      <c r="J254" s="121"/>
      <c r="K254" s="121"/>
      <c r="L254" s="121"/>
      <c r="M254" s="121"/>
    </row>
    <row r="255" spans="1:9" s="29" customFormat="1" ht="15" customHeight="1">
      <c r="A255" s="29">
        <f>IF(F259=3,"PER COMPIUTA ANZIANITA' DI ANNI 3 COMPETE LA SEGUENTE POSIZIONE",IF(F259=9,"PER COMPIUTA ANZIANITA' DI ANNI 9 COMPETE LA SEGUENTE POSIZIONE",IF(F259=15,"PER COMPIUTA ANZIANITA' DI ANNI 15 COMPETE LA SEGUENTE POSIZIONE",IF(F259=21,"PER COMPIUTA ANZIANITA' DI ANNI 21 COMPETE LA SEGUENTE POSIZIONE",IF(F259=28,"PER COMPIUTA ANZIANITA' DI ANNI 28 COMPETE LA SEGUENTE POSIZIONE",IF(F259=35,"PER COMPIUTA ANZIANITA' DI ANNI 35 COMPETE LA SEGUENTE POSIZIONE",0))))))</f>
        <v>0</v>
      </c>
      <c r="G255" s="203"/>
      <c r="I255" s="437"/>
    </row>
    <row r="256" spans="1:9" s="29" customFormat="1" ht="15" customHeight="1">
      <c r="A256" s="443" t="s">
        <v>98</v>
      </c>
      <c r="B256" s="165" t="s">
        <v>33</v>
      </c>
      <c r="C256" s="220"/>
      <c r="D256" s="207">
        <f>D257</f>
        <v>38384</v>
      </c>
      <c r="E256" s="170">
        <f>G261</f>
        <v>15</v>
      </c>
      <c r="F256" s="161">
        <f>IF(E256&lt;3,2,IF(E256&lt;9,3,IF(E256&lt;15,4,IF(E256&lt;21,5,IF(E256&lt;28,6,IF(E256&lt;35,7,IF(E256&lt;41,8)))))))</f>
        <v>5</v>
      </c>
      <c r="G256" s="200" t="s">
        <v>201</v>
      </c>
      <c r="H256" s="567">
        <f>IF(H243=18,"",N258)</f>
        <v>17</v>
      </c>
      <c r="I256" s="437"/>
    </row>
    <row r="257" spans="1:16" s="29" customFormat="1" ht="15" customHeight="1">
      <c r="A257" s="138" t="s">
        <v>140</v>
      </c>
      <c r="B257" s="139">
        <v>37988</v>
      </c>
      <c r="C257" s="139">
        <v>38384</v>
      </c>
      <c r="D257" s="166">
        <f>DATEVALUE("1/2/2005")</f>
        <v>38384</v>
      </c>
      <c r="E257" s="122">
        <f>IF(B257&gt;1,DAYS360(B257,C257)+1,0)</f>
        <v>390</v>
      </c>
      <c r="F257" s="221">
        <f>INT(E257/360)</f>
        <v>1</v>
      </c>
      <c r="G257" s="222">
        <f>INT(INT(E257-(F257*360))/30)</f>
        <v>1</v>
      </c>
      <c r="H257" s="435">
        <f>E257-(F257*360)-(G257*30)</f>
        <v>0</v>
      </c>
      <c r="I257" s="437"/>
      <c r="J257" s="544">
        <v>37988</v>
      </c>
      <c r="K257" s="544">
        <v>38384</v>
      </c>
      <c r="L257" s="122">
        <f>K257</f>
        <v>38384</v>
      </c>
      <c r="M257" s="122">
        <f>IF(J257&gt;1,DAYS360(J257,K257)+1,0)</f>
        <v>390</v>
      </c>
      <c r="N257" s="221">
        <f>INT(M257/360)</f>
        <v>1</v>
      </c>
      <c r="O257" s="222">
        <f>INT(INT(M257-(N257*360))/30)</f>
        <v>1</v>
      </c>
      <c r="P257" s="435">
        <f>M257-(N257*360)-(O257*30)</f>
        <v>0</v>
      </c>
    </row>
    <row r="258" spans="9:16" s="29" customFormat="1" ht="15" customHeight="1">
      <c r="I258" s="440"/>
      <c r="J258" s="121"/>
      <c r="K258" s="121"/>
      <c r="L258" s="121"/>
      <c r="M258" s="140">
        <f>M257+M245</f>
        <v>6248</v>
      </c>
      <c r="N258" s="221">
        <f>INT(M258/360)</f>
        <v>17</v>
      </c>
      <c r="O258" s="222">
        <f>INT(INT(M258-(N258*360))/30)</f>
        <v>4</v>
      </c>
      <c r="P258" s="435">
        <f>M258-(N258*360)-(O258*30)</f>
        <v>8</v>
      </c>
    </row>
    <row r="259" spans="1:9" s="29" customFormat="1" ht="15" customHeight="1">
      <c r="A259" s="156" t="s">
        <v>333</v>
      </c>
      <c r="B259" s="153"/>
      <c r="C259" s="153"/>
      <c r="D259" s="125">
        <v>38384</v>
      </c>
      <c r="E259" s="204">
        <f>IF(A254=1,E246+E257,E246+E257+$D$13)</f>
        <v>6248</v>
      </c>
      <c r="F259" s="221">
        <f>INT(E259/360)</f>
        <v>17</v>
      </c>
      <c r="G259" s="222">
        <f>INT(INT(E259-(F259*360))/30)</f>
        <v>4</v>
      </c>
      <c r="H259" s="435">
        <f>E259-(F259*360)-(G259*30)</f>
        <v>8</v>
      </c>
      <c r="I259" s="440"/>
    </row>
    <row r="260" spans="3:13" s="29" customFormat="1" ht="12.75" customHeight="1">
      <c r="C260" s="153"/>
      <c r="D260" s="153"/>
      <c r="E260" s="174"/>
      <c r="F260" s="132"/>
      <c r="G260" s="175"/>
      <c r="H260" s="132"/>
      <c r="I260" s="440"/>
      <c r="J260" s="121"/>
      <c r="K260" s="121"/>
      <c r="L260" s="121"/>
      <c r="M260" s="121"/>
    </row>
    <row r="261" spans="1:9" s="29" customFormat="1" ht="15" customHeight="1">
      <c r="A261" s="152" t="s">
        <v>44</v>
      </c>
      <c r="C261" s="165"/>
      <c r="D261" s="165"/>
      <c r="E261" s="169" t="s">
        <v>151</v>
      </c>
      <c r="G261" s="170">
        <f>IF(F259&lt;3,0,IF(F259&lt;9,3,IF(F259&lt;15,9,IF(F259&lt;21,15,IF(F259&lt;28,21,IF(F259&lt;35,28,IF(F259&lt;40,35)))))))</f>
        <v>15</v>
      </c>
      <c r="H261" s="152" t="s">
        <v>152</v>
      </c>
      <c r="I261" s="450" t="str">
        <f>IF(G261&lt;3,"0-2",IF(G261&lt;9,"3-8",IF(G261&lt;15,"9-14",IF(G261&lt;21,"15-20",IF(G261&lt;28,"21-27",IF(G261&lt;35,"28-35"))))))</f>
        <v>15-20</v>
      </c>
    </row>
    <row r="262" spans="3:9" s="29" customFormat="1" ht="15.75" customHeight="1">
      <c r="C262" s="223"/>
      <c r="D262" s="224"/>
      <c r="F262" s="225"/>
      <c r="G262" s="225"/>
      <c r="H262" s="145"/>
      <c r="I262" s="437"/>
    </row>
    <row r="263" spans="1:13" s="29" customFormat="1" ht="15" customHeight="1">
      <c r="A263" s="205" t="s">
        <v>335</v>
      </c>
      <c r="B263" s="212"/>
      <c r="C263" s="125">
        <f>D259</f>
        <v>38384</v>
      </c>
      <c r="D263" s="560" t="s">
        <v>334</v>
      </c>
      <c r="E263" s="203"/>
      <c r="I263" s="437"/>
      <c r="J263" s="121"/>
      <c r="K263" s="121"/>
      <c r="L263" s="121"/>
      <c r="M263" s="121"/>
    </row>
    <row r="264" spans="1:9" s="29" customFormat="1" ht="15" customHeight="1">
      <c r="A264" s="194" t="s">
        <v>164</v>
      </c>
      <c r="B264" s="194" t="s">
        <v>32</v>
      </c>
      <c r="C264" s="400"/>
      <c r="E264" s="432">
        <f>IF($D$233&gt;D256,0,HLOOKUP($B$7,TAB!B432:I439,F256))</f>
        <v>24774.81</v>
      </c>
      <c r="F264" s="121" t="s">
        <v>8</v>
      </c>
      <c r="I264" s="437"/>
    </row>
    <row r="265" spans="1:9" s="29" customFormat="1" ht="15" customHeight="1" thickBot="1">
      <c r="A265" s="194" t="s">
        <v>297</v>
      </c>
      <c r="C265" s="209"/>
      <c r="D265" s="208"/>
      <c r="E265" s="500">
        <f>IF(E252=0,0,IF(AND(E252&gt;0,A255&gt;0),0,647.79))</f>
        <v>647.79</v>
      </c>
      <c r="I265" s="437"/>
    </row>
    <row r="266" spans="1:9" s="29" customFormat="1" ht="15" customHeight="1" thickTop="1">
      <c r="A266" s="194" t="s">
        <v>163</v>
      </c>
      <c r="B266" s="212"/>
      <c r="C266" s="213"/>
      <c r="D266" s="203"/>
      <c r="E266" s="432">
        <f>SUM(E264:E265)</f>
        <v>25422.600000000002</v>
      </c>
      <c r="F266" s="197"/>
      <c r="G266" s="198"/>
      <c r="H266" s="458" t="s">
        <v>221</v>
      </c>
      <c r="I266" s="460">
        <f>E266/12</f>
        <v>2118.55</v>
      </c>
    </row>
    <row r="267" spans="9:13" s="29" customFormat="1" ht="15" customHeight="1">
      <c r="I267" s="437"/>
      <c r="J267" s="121"/>
      <c r="K267" s="121"/>
      <c r="L267" s="121"/>
      <c r="M267" s="121"/>
    </row>
    <row r="268" spans="1:9" s="29" customFormat="1" ht="15" customHeight="1">
      <c r="A268" s="537" t="str">
        <f>IF(AND(H270=18,A254=1),"PER COMPIUTA ANZIANITA' DI ANNI 18 L'ANZ SOLO EC SI RICONGIUNGE A QUELLA G.E.",1)</f>
        <v>PER COMPIUTA ANZIANITA' DI ANNI 18 L'ANZ SOLO EC SI RICONGIUNGE A QUELLA G.E.</v>
      </c>
      <c r="I268" s="437"/>
    </row>
    <row r="269" spans="1:9" s="29" customFormat="1" ht="15" customHeight="1">
      <c r="A269" s="6">
        <f>IF(F273=3,"PER COMPIUTA ANZIANITA' DI ANNI 3 COMPETE LA SEGUENTE POSIZIONE",IF(F273=9,"PER COMPIUTA ANZIANITA' DI ANNI 9 COMPETE LA SEGUENTE POSIZIONE",IF(F273=15,"PER COMPIUTA ANZIANITA' DI ANNI 15 COMPETE LA SEGUENTE POSIZIONE",IF(F273=21,"PER COMPIUTA ANZIANITA' DI ANNI 21 COMPETE LA SEGUENTE POSIZIONE",IF(F273=28,"PER COMPIUTA ANZIANITA' DI ANNI 28 COMPETE LA SEGUENTE POSIZIONE",IF(F273=35,"PER COMPIUTA ANZIANITA' DI ANNI 35 COMPETE LA SEGUENTE POSIZIONE",0))))))</f>
        <v>0</v>
      </c>
      <c r="H269" s="121"/>
      <c r="I269" s="437"/>
    </row>
    <row r="270" spans="1:13" s="29" customFormat="1" ht="15" customHeight="1">
      <c r="A270" s="443" t="s">
        <v>98</v>
      </c>
      <c r="B270" s="165" t="s">
        <v>52</v>
      </c>
      <c r="C270" s="220"/>
      <c r="D270" s="207">
        <f>D271</f>
        <v>38718</v>
      </c>
      <c r="E270" s="170">
        <f>G275</f>
        <v>15</v>
      </c>
      <c r="F270" s="161">
        <f>IF(E270&lt;3,2,IF(E270&lt;9,3,IF(E270&lt;15,4,IF(E270&lt;21,5,IF(E270&lt;28,6,IF(E270&lt;35,7,IF(E270&lt;41,8)))))))</f>
        <v>5</v>
      </c>
      <c r="G270" s="200" t="s">
        <v>201</v>
      </c>
      <c r="H270" s="567">
        <f>IF(H256=18,"",N272)</f>
        <v>18</v>
      </c>
      <c r="I270" s="437"/>
      <c r="J270" s="121"/>
      <c r="K270" s="121"/>
      <c r="L270" s="121"/>
      <c r="M270" s="121"/>
    </row>
    <row r="271" spans="1:16" s="29" customFormat="1" ht="15" customHeight="1">
      <c r="A271" s="138" t="s">
        <v>140</v>
      </c>
      <c r="B271" s="139">
        <v>38385</v>
      </c>
      <c r="C271" s="139">
        <v>38718</v>
      </c>
      <c r="D271" s="166">
        <f>DATEVALUE("1/1/2006")</f>
        <v>38718</v>
      </c>
      <c r="E271" s="122">
        <f>IF(B271&gt;1,DAYS360(B271,C271)+1,0)</f>
        <v>330</v>
      </c>
      <c r="F271" s="221">
        <f>INT(E271/360)</f>
        <v>0</v>
      </c>
      <c r="G271" s="222">
        <f>INT(INT(E271-(F271*360))/30)</f>
        <v>11</v>
      </c>
      <c r="H271" s="435">
        <f>E271-(F271*360)-(G271*30)</f>
        <v>0</v>
      </c>
      <c r="I271" s="437"/>
      <c r="J271" s="544">
        <v>38385</v>
      </c>
      <c r="K271" s="544">
        <v>38718</v>
      </c>
      <c r="L271" s="122">
        <f>K271</f>
        <v>38718</v>
      </c>
      <c r="M271" s="122">
        <f>IF(J271&gt;1,DAYS360(J271,K271)+1,0)</f>
        <v>330</v>
      </c>
      <c r="N271" s="221">
        <f>INT(M271/360)</f>
        <v>0</v>
      </c>
      <c r="O271" s="222">
        <f>INT(INT(M271-(N271*360))/30)</f>
        <v>11</v>
      </c>
      <c r="P271" s="435">
        <f>M271-(N271*360)-(O271*30)</f>
        <v>0</v>
      </c>
    </row>
    <row r="272" spans="1:16" s="29" customFormat="1" ht="15" customHeight="1">
      <c r="A272" s="121"/>
      <c r="I272" s="440"/>
      <c r="J272" s="121"/>
      <c r="K272" s="121"/>
      <c r="L272" s="121"/>
      <c r="M272" s="140">
        <f>M271+M258</f>
        <v>6578</v>
      </c>
      <c r="N272" s="221">
        <f>INT(M272/360)</f>
        <v>18</v>
      </c>
      <c r="O272" s="222">
        <f>INT(INT(M272-(N272*360))/30)</f>
        <v>3</v>
      </c>
      <c r="P272" s="435">
        <f>M272-(N272*360)-(O272*30)</f>
        <v>8</v>
      </c>
    </row>
    <row r="273" spans="1:13" s="29" customFormat="1" ht="15" customHeight="1">
      <c r="A273" s="156" t="s">
        <v>53</v>
      </c>
      <c r="B273" s="153"/>
      <c r="C273" s="153"/>
      <c r="D273" s="204"/>
      <c r="E273" s="204">
        <f>IF(A268=1,E259+E271,E259+E271+$D$13)</f>
        <v>6938</v>
      </c>
      <c r="F273" s="221">
        <f>INT(E273/360)</f>
        <v>19</v>
      </c>
      <c r="G273" s="222">
        <f>INT(INT(E273-(F273*360))/30)</f>
        <v>3</v>
      </c>
      <c r="H273" s="435">
        <f>E273-(F273*360)-(G273*30)</f>
        <v>8</v>
      </c>
      <c r="I273" s="440"/>
      <c r="J273" s="121"/>
      <c r="K273" s="121"/>
      <c r="L273" s="121"/>
      <c r="M273" s="121"/>
    </row>
    <row r="274" spans="3:13" s="29" customFormat="1" ht="7.5" customHeight="1">
      <c r="C274" s="153"/>
      <c r="D274" s="153"/>
      <c r="E274" s="174"/>
      <c r="F274" s="132"/>
      <c r="G274" s="175"/>
      <c r="H274" s="132"/>
      <c r="I274" s="440"/>
      <c r="J274" s="121"/>
      <c r="K274" s="121"/>
      <c r="L274" s="121"/>
      <c r="M274" s="121"/>
    </row>
    <row r="275" spans="1:13" s="29" customFormat="1" ht="15" customHeight="1">
      <c r="A275" s="152" t="s">
        <v>71</v>
      </c>
      <c r="C275" s="165"/>
      <c r="D275" s="165"/>
      <c r="E275" s="169" t="s">
        <v>151</v>
      </c>
      <c r="G275" s="170">
        <f>IF(F273&lt;3,0,IF(F273&lt;9,3,IF(F273&lt;15,9,IF(F273&lt;21,15,IF(F273&lt;28,21,IF(F273&lt;35,28,IF(F273&lt;40,35)))))))</f>
        <v>15</v>
      </c>
      <c r="H275" s="152" t="s">
        <v>152</v>
      </c>
      <c r="I275" s="450" t="str">
        <f>IF(G275&lt;3,"0-2",IF(G275&lt;9,"3-8",IF(G275&lt;15,"9-14",IF(G275&lt;21,"15-20",IF(G275&lt;28,"21-27",IF(G275&lt;35,"28-35"))))))</f>
        <v>15-20</v>
      </c>
      <c r="J275" s="121"/>
      <c r="K275" s="121"/>
      <c r="L275" s="121"/>
      <c r="M275" s="121"/>
    </row>
    <row r="276" spans="1:13" s="29" customFormat="1" ht="15" customHeight="1">
      <c r="A276" s="152"/>
      <c r="B276" s="152"/>
      <c r="C276" s="152"/>
      <c r="D276" s="152"/>
      <c r="E276" s="152"/>
      <c r="F276" s="152"/>
      <c r="G276" s="152"/>
      <c r="H276" s="152"/>
      <c r="I276" s="437"/>
      <c r="J276" s="121"/>
      <c r="K276" s="121"/>
      <c r="L276" s="121"/>
      <c r="M276" s="121"/>
    </row>
    <row r="277" spans="1:13" s="29" customFormat="1" ht="15" customHeight="1">
      <c r="A277" s="205" t="s">
        <v>73</v>
      </c>
      <c r="B277" s="212"/>
      <c r="C277" s="203"/>
      <c r="D277" s="167"/>
      <c r="E277" s="203"/>
      <c r="I277" s="437"/>
      <c r="J277" s="121"/>
      <c r="K277" s="121"/>
      <c r="L277" s="121"/>
      <c r="M277" s="121"/>
    </row>
    <row r="278" spans="1:13" s="29" customFormat="1" ht="15" customHeight="1">
      <c r="A278" s="194" t="s">
        <v>164</v>
      </c>
      <c r="B278" s="194" t="s">
        <v>55</v>
      </c>
      <c r="C278" s="400"/>
      <c r="E278" s="432">
        <f>IF($D$233&gt;D270,0,HLOOKUP($B$7,TAB!B432:I439,F270))</f>
        <v>24774.81</v>
      </c>
      <c r="F278" s="121"/>
      <c r="I278" s="437"/>
      <c r="J278" s="121"/>
      <c r="K278" s="121"/>
      <c r="L278" s="121"/>
      <c r="M278" s="121"/>
    </row>
    <row r="279" spans="1:13" s="29" customFormat="1" ht="15" customHeight="1">
      <c r="A279" s="194" t="s">
        <v>297</v>
      </c>
      <c r="C279" s="209"/>
      <c r="D279" s="208"/>
      <c r="E279" s="431">
        <f>IF(E265=0,0,IF(AND(E265&gt;0,A269&gt;0),0,647.79))</f>
        <v>647.79</v>
      </c>
      <c r="I279" s="437"/>
      <c r="J279" s="121"/>
      <c r="K279" s="535"/>
      <c r="L279" s="121"/>
      <c r="M279" s="121"/>
    </row>
    <row r="280" spans="1:13" s="29" customFormat="1" ht="15" customHeight="1">
      <c r="A280" s="194" t="s">
        <v>58</v>
      </c>
      <c r="B280" s="194"/>
      <c r="C280" s="208"/>
      <c r="D280" s="208"/>
      <c r="E280" s="432">
        <f>IF($D$233&gt;D256,0,D281*12)</f>
        <v>113.64000000000001</v>
      </c>
      <c r="I280" s="437"/>
      <c r="J280" s="121"/>
      <c r="K280" s="121"/>
      <c r="L280" s="121"/>
      <c r="M280" s="121"/>
    </row>
    <row r="281" spans="1:13" s="29" customFormat="1" ht="15" customHeight="1" thickBot="1">
      <c r="A281" s="194" t="s">
        <v>187</v>
      </c>
      <c r="C281" s="209"/>
      <c r="D281" s="474">
        <f>HLOOKUP($B$7,TAB!B442:I449,F270)</f>
        <v>9.47</v>
      </c>
      <c r="E281" s="168"/>
      <c r="I281" s="437"/>
      <c r="J281" s="121"/>
      <c r="K281" s="121"/>
      <c r="L281" s="121"/>
      <c r="M281" s="121"/>
    </row>
    <row r="282" spans="1:13" s="29" customFormat="1" ht="15" customHeight="1" thickTop="1">
      <c r="A282" s="194" t="s">
        <v>163</v>
      </c>
      <c r="B282" s="212"/>
      <c r="C282" s="213"/>
      <c r="D282" s="203"/>
      <c r="E282" s="432">
        <f>SUM(E278:E281)</f>
        <v>25536.24</v>
      </c>
      <c r="F282" s="197"/>
      <c r="G282" s="198"/>
      <c r="H282" s="458" t="s">
        <v>221</v>
      </c>
      <c r="I282" s="460">
        <f>E282/12</f>
        <v>2128.02</v>
      </c>
      <c r="J282" s="121"/>
      <c r="K282" s="121"/>
      <c r="L282" s="121"/>
      <c r="M282" s="121"/>
    </row>
    <row r="283" spans="1:13" s="29" customFormat="1" ht="15" customHeight="1">
      <c r="A283" s="152"/>
      <c r="B283" s="152"/>
      <c r="C283" s="152"/>
      <c r="D283" s="152"/>
      <c r="E283" s="152"/>
      <c r="F283" s="152"/>
      <c r="G283" s="152"/>
      <c r="H283" s="152"/>
      <c r="I283" s="441"/>
      <c r="J283" s="121"/>
      <c r="K283" s="121"/>
      <c r="L283" s="121"/>
      <c r="M283" s="121"/>
    </row>
    <row r="284" spans="1:13" s="29" customFormat="1" ht="15" customHeight="1">
      <c r="A284" s="537">
        <f>IF(AND(H286=18,A254=1),"PER COMPIUTA ANZIANITA' DI ANNI 18 L'ANZ SOLO EC SI RICONGIUNGE A QUELLA G.E.",1)</f>
        <v>1</v>
      </c>
      <c r="B284" s="152"/>
      <c r="C284" s="152"/>
      <c r="D284" s="152"/>
      <c r="E284" s="152"/>
      <c r="F284" s="152"/>
      <c r="G284" s="152"/>
      <c r="H284" s="152"/>
      <c r="I284" s="441"/>
      <c r="J284" s="121"/>
      <c r="K284" s="121"/>
      <c r="L284" s="121"/>
      <c r="M284" s="121"/>
    </row>
    <row r="285" spans="1:13" s="29" customFormat="1" ht="17.25" customHeight="1">
      <c r="A285" s="6">
        <f>IF(F289=3,"PER COMPIUTA ANZIANITA' DI ANNI 3 COMPETE LA SEGUENTE POSIZIONE",IF(F289=9,"PER COMPIUTA ANZIANITA' DI ANNI 9 COMPETE LA SEGUENTE POSIZIONE",IF(F289=15,"PER COMPIUTA ANZIANITA' DI ANNI 15 COMPETE LA SEGUENTE POSIZIONE",IF(F289=21,"PER COMPIUTA ANZIANITA' DI ANNI 21 COMPETE LA SEGUENTE POSIZIONE",IF(F289=28,"PER COMPIUTA ANZIANITA' DI ANNI 28 COMPETE LA SEGUENTE POSIZIONE",IF(F289=35,"PER COMPIUTA ANZIANITA' DI ANNI 35 COMPETE LA SEGUENTE POSIZIONE",0))))))</f>
        <v>0</v>
      </c>
      <c r="G285" s="145"/>
      <c r="H285" s="534"/>
      <c r="I285" s="437"/>
      <c r="J285" s="121"/>
      <c r="K285" s="121"/>
      <c r="L285" s="121"/>
      <c r="M285" s="121"/>
    </row>
    <row r="286" spans="1:13" s="29" customFormat="1" ht="15" customHeight="1">
      <c r="A286" s="206" t="s">
        <v>98</v>
      </c>
      <c r="B286" s="165" t="s">
        <v>135</v>
      </c>
      <c r="C286" s="534">
        <f>C287</f>
        <v>39083</v>
      </c>
      <c r="D286" s="207">
        <f>D287</f>
        <v>39692</v>
      </c>
      <c r="E286" s="170">
        <f>G291</f>
        <v>15</v>
      </c>
      <c r="F286" s="161">
        <f>IF(E286&lt;3,2,IF(E286&lt;9,3,IF(E286&lt;15,4,IF(E286&lt;21,5,IF(E286&lt;28,6,IF(E286&lt;35,7,IF(E286&lt;41,8)))))))</f>
        <v>5</v>
      </c>
      <c r="G286" s="200" t="s">
        <v>201</v>
      </c>
      <c r="H286" s="567">
        <f>IF(H270=18,"",N288)</f>
      </c>
      <c r="I286" s="437"/>
      <c r="J286" s="121"/>
      <c r="K286" s="121"/>
      <c r="L286" s="121"/>
      <c r="M286" s="121"/>
    </row>
    <row r="287" spans="1:16" s="29" customFormat="1" ht="15" customHeight="1">
      <c r="A287" s="138" t="s">
        <v>140</v>
      </c>
      <c r="B287" s="139">
        <v>38719</v>
      </c>
      <c r="C287" s="139">
        <v>39083</v>
      </c>
      <c r="D287" s="122">
        <f>F54</f>
        <v>39692</v>
      </c>
      <c r="E287" s="122">
        <f>IF(B287&gt;1,DAYS360(B287,C287)+1,0)</f>
        <v>360</v>
      </c>
      <c r="F287" s="221">
        <f>INT(E287/360)</f>
        <v>1</v>
      </c>
      <c r="G287" s="222">
        <f>INT(INT(E287-(F287*360))/30)</f>
        <v>0</v>
      </c>
      <c r="H287" s="435">
        <f>E287-(F287*360)-(G287*30)</f>
        <v>0</v>
      </c>
      <c r="I287" s="437"/>
      <c r="J287" s="544">
        <v>38719</v>
      </c>
      <c r="K287" s="544">
        <v>39083</v>
      </c>
      <c r="L287" s="122">
        <f>K287</f>
        <v>39083</v>
      </c>
      <c r="M287" s="122">
        <f>IF(J287&gt;1,DAYS360(J287,K287)+1,0)</f>
        <v>360</v>
      </c>
      <c r="N287" s="221">
        <f>INT(M287/360)</f>
        <v>1</v>
      </c>
      <c r="O287" s="222">
        <f>INT(INT(M287-(N287*360))/30)</f>
        <v>0</v>
      </c>
      <c r="P287" s="435">
        <f>M287-(N287*360)-(O287*30)</f>
        <v>0</v>
      </c>
    </row>
    <row r="288" spans="9:16" s="29" customFormat="1" ht="15" customHeight="1">
      <c r="I288" s="440"/>
      <c r="J288" s="121"/>
      <c r="K288" s="121"/>
      <c r="L288" s="121"/>
      <c r="M288" s="140">
        <f>M287+M272</f>
        <v>6938</v>
      </c>
      <c r="N288" s="221">
        <f>INT(M288/360)</f>
        <v>19</v>
      </c>
      <c r="O288" s="222">
        <f>INT(INT(M288-(N288*360))/30)</f>
        <v>3</v>
      </c>
      <c r="P288" s="435">
        <f>M288-(N288*360)-(O288*30)</f>
        <v>8</v>
      </c>
    </row>
    <row r="289" spans="1:13" s="29" customFormat="1" ht="15" customHeight="1">
      <c r="A289" s="156" t="s">
        <v>329</v>
      </c>
      <c r="B289" s="156"/>
      <c r="C289" s="536">
        <f>C287</f>
        <v>39083</v>
      </c>
      <c r="E289" s="204">
        <f>IF(A284=1,E273+E287,E273+E287+$D$13)</f>
        <v>7298</v>
      </c>
      <c r="F289" s="221">
        <f>INT(E289/360)</f>
        <v>20</v>
      </c>
      <c r="G289" s="222">
        <f>INT(INT(E289-(F289*360))/30)</f>
        <v>3</v>
      </c>
      <c r="H289" s="435">
        <f>E289-(F289*360)-(G289*30)</f>
        <v>8</v>
      </c>
      <c r="I289" s="440"/>
      <c r="J289" s="121"/>
      <c r="K289" s="121"/>
      <c r="L289" s="121"/>
      <c r="M289" s="121"/>
    </row>
    <row r="290" spans="1:13" s="29" customFormat="1" ht="15" customHeight="1">
      <c r="A290" s="156"/>
      <c r="B290" s="156"/>
      <c r="C290" s="156"/>
      <c r="D290" s="156"/>
      <c r="E290" s="174"/>
      <c r="F290" s="132"/>
      <c r="G290" s="175"/>
      <c r="H290" s="132"/>
      <c r="I290" s="440"/>
      <c r="J290" s="121"/>
      <c r="K290" s="121"/>
      <c r="L290" s="121"/>
      <c r="M290" s="121"/>
    </row>
    <row r="291" spans="1:13" s="29" customFormat="1" ht="15" customHeight="1">
      <c r="A291" s="156" t="s">
        <v>57</v>
      </c>
      <c r="B291" s="156"/>
      <c r="C291" s="156"/>
      <c r="D291" s="156"/>
      <c r="E291" s="169" t="s">
        <v>151</v>
      </c>
      <c r="G291" s="170">
        <f>IF(F289&lt;3,0,IF(F289&lt;9,3,IF(F289&lt;15,9,IF(F289&lt;21,15,IF(F289&lt;28,21,IF(F289&lt;35,28,IF(F289&lt;40,35)))))))</f>
        <v>15</v>
      </c>
      <c r="H291" s="152" t="s">
        <v>152</v>
      </c>
      <c r="I291" s="450" t="str">
        <f>IF(G291&lt;3,"0-2",IF(G291&lt;9,"3-8",IF(G291&lt;15,"9-14",IF(G291&lt;21,"15-20",IF(G291&lt;28,"21-27",IF(G291&lt;35,"28-35"))))))</f>
        <v>15-20</v>
      </c>
      <c r="J291" s="121"/>
      <c r="K291" s="121"/>
      <c r="L291" s="121"/>
      <c r="M291" s="121"/>
    </row>
    <row r="292" spans="1:13" s="29" customFormat="1" ht="15" customHeight="1">
      <c r="A292" s="156"/>
      <c r="B292" s="156"/>
      <c r="C292" s="156"/>
      <c r="D292" s="156"/>
      <c r="F292" s="225"/>
      <c r="G292" s="225"/>
      <c r="H292" s="145"/>
      <c r="I292" s="437"/>
      <c r="J292" s="121"/>
      <c r="K292" s="121"/>
      <c r="L292" s="121"/>
      <c r="M292" s="121"/>
    </row>
    <row r="293" spans="1:13" s="29" customFormat="1" ht="15" customHeight="1">
      <c r="A293" s="205" t="s">
        <v>328</v>
      </c>
      <c r="B293" s="156"/>
      <c r="C293" s="536">
        <f>H285</f>
        <v>0</v>
      </c>
      <c r="D293" s="156"/>
      <c r="E293" s="203"/>
      <c r="I293" s="437"/>
      <c r="J293" s="121"/>
      <c r="K293" s="121"/>
      <c r="L293" s="121"/>
      <c r="M293" s="121"/>
    </row>
    <row r="294" spans="1:13" s="29" customFormat="1" ht="15" customHeight="1">
      <c r="A294" s="194" t="s">
        <v>164</v>
      </c>
      <c r="B294" s="194" t="s">
        <v>32</v>
      </c>
      <c r="C294" s="156"/>
      <c r="D294" s="156"/>
      <c r="E294" s="432">
        <f>IF($D$233&gt;D286,0,HLOOKUP($B$7,TAB!L452:S459,F286))</f>
        <v>25357.77</v>
      </c>
      <c r="I294" s="437"/>
      <c r="J294" s="121"/>
      <c r="K294" s="121"/>
      <c r="L294" s="121"/>
      <c r="M294" s="121"/>
    </row>
    <row r="295" spans="1:13" s="29" customFormat="1" ht="15" customHeight="1">
      <c r="A295" s="194" t="s">
        <v>297</v>
      </c>
      <c r="C295" s="209"/>
      <c r="D295" s="208"/>
      <c r="E295" s="431">
        <f>IF(E279=0,0,IF(AND(E279&gt;0,A285&gt;0),0,647.79))</f>
        <v>647.79</v>
      </c>
      <c r="I295" s="437"/>
      <c r="J295" s="121"/>
      <c r="K295" s="121"/>
      <c r="L295" s="121"/>
      <c r="M295" s="121"/>
    </row>
    <row r="296" spans="1:13" s="29" customFormat="1" ht="15" customHeight="1" thickBot="1">
      <c r="A296" s="194" t="s">
        <v>59</v>
      </c>
      <c r="B296" s="194"/>
      <c r="C296" s="208"/>
      <c r="D296" s="448">
        <f>HLOOKUP($B$7,TAB!B452:I459,F286)</f>
        <v>48.58</v>
      </c>
      <c r="E296" s="469">
        <f>IF($D$233&gt;D256,0,D296*12)</f>
        <v>582.96</v>
      </c>
      <c r="I296" s="437"/>
      <c r="J296" s="121"/>
      <c r="K296" s="121"/>
      <c r="L296" s="121"/>
      <c r="M296" s="121"/>
    </row>
    <row r="297" spans="1:13" s="29" customFormat="1" ht="15" customHeight="1" thickTop="1">
      <c r="A297" s="194" t="s">
        <v>163</v>
      </c>
      <c r="B297" s="212"/>
      <c r="C297" s="213"/>
      <c r="D297" s="203"/>
      <c r="E297" s="432">
        <f>SUM(E294:E296)</f>
        <v>26588.52</v>
      </c>
      <c r="F297" s="197"/>
      <c r="G297" s="198"/>
      <c r="H297" s="458" t="s">
        <v>221</v>
      </c>
      <c r="I297" s="460">
        <f>E297/12</f>
        <v>2215.71</v>
      </c>
      <c r="J297" s="121"/>
      <c r="K297" s="121"/>
      <c r="L297" s="121"/>
      <c r="M297" s="121"/>
    </row>
    <row r="298" spans="9:13" s="29" customFormat="1" ht="15" customHeight="1">
      <c r="I298" s="437"/>
      <c r="J298" s="121"/>
      <c r="K298" s="121"/>
      <c r="L298" s="121"/>
      <c r="M298" s="121"/>
    </row>
    <row r="299" spans="1:13" s="29" customFormat="1" ht="15" customHeight="1">
      <c r="A299" s="537">
        <f>IF(AND(H301=18,A268=1),"PER COMPIUTA ANZIANITA' DI ANNI 18 L'ANZ SOLO EC SI RICONGIUNGE A QUELLA G.E.",1)</f>
        <v>1</v>
      </c>
      <c r="I299" s="437"/>
      <c r="J299" s="121"/>
      <c r="K299" s="121"/>
      <c r="L299" s="121"/>
      <c r="M299" s="121"/>
    </row>
    <row r="300" spans="1:13" s="29" customFormat="1" ht="15" customHeight="1">
      <c r="A300" s="6" t="str">
        <f>IF(F304=3,"PER COMPIUTA ANZIANITA' DI ANNI 3 COMPETE LA SEGUENTE POSIZIONE",IF(F304=9,"PER COMPIUTA ANZIANITA' DI ANNI 9 COMPETE LA SEGUENTE POSIZIONE",IF(F304=15,"PER COMPIUTA ANZIANITA' DI ANNI 15 COMPETE LA SEGUENTE POSIZIONE",IF(F304=21,"PER COMPIUTA ANZIANITA' DI ANNI 21 COMPETE LA SEGUENTE POSIZIONE",IF(F304=28,"PER COMPIUTA ANZIANITA' DI ANNI 28 COMPETE LA SEGUENTE POSIZIONE",IF(F304=35,"PER COMPIUTA ANZIANITA' DI ANNI 35 COMPETE LA SEGUENTE POSIZIONE",0))))))</f>
        <v>PER COMPIUTA ANZIANITA' DI ANNI 21 COMPETE LA SEGUENTE POSIZIONE</v>
      </c>
      <c r="H300" s="121"/>
      <c r="I300" s="437"/>
      <c r="J300" s="121"/>
      <c r="K300" s="121"/>
      <c r="L300" s="121"/>
      <c r="M300" s="121"/>
    </row>
    <row r="301" spans="1:13" s="29" customFormat="1" ht="15" customHeight="1">
      <c r="A301" s="206" t="s">
        <v>98</v>
      </c>
      <c r="B301" s="165" t="s">
        <v>60</v>
      </c>
      <c r="C301" s="220"/>
      <c r="D301" s="207">
        <f>D302</f>
        <v>39447</v>
      </c>
      <c r="E301" s="170">
        <f>G306</f>
        <v>21</v>
      </c>
      <c r="F301" s="161">
        <f>IF(E301&lt;3,2,IF(E301&lt;9,3,IF(E301&lt;15,4,IF(E301&lt;21,5,IF(E301&lt;28,6,IF(E301&lt;35,7,IF(E301&lt;41,8)))))))</f>
        <v>6</v>
      </c>
      <c r="G301" s="200" t="s">
        <v>201</v>
      </c>
      <c r="H301" s="567">
        <f>IF(H288=18,"",N303)</f>
        <v>20</v>
      </c>
      <c r="I301" s="437"/>
      <c r="J301" s="121"/>
      <c r="K301" s="121"/>
      <c r="L301" s="121"/>
      <c r="M301" s="121"/>
    </row>
    <row r="302" spans="1:16" s="29" customFormat="1" ht="15" customHeight="1">
      <c r="A302" s="138" t="s">
        <v>140</v>
      </c>
      <c r="B302" s="139">
        <v>39084</v>
      </c>
      <c r="C302" s="139">
        <v>39447</v>
      </c>
      <c r="D302" s="166">
        <f>DATEVALUE("31/12/2007")</f>
        <v>39447</v>
      </c>
      <c r="E302" s="122">
        <f>IF(B302&gt;1,DAYS360(B302,C302)+1,0)</f>
        <v>360</v>
      </c>
      <c r="F302" s="221">
        <f>INT(E302/360)</f>
        <v>1</v>
      </c>
      <c r="G302" s="222">
        <f>INT(INT(E302-(F302*360))/30)</f>
        <v>0</v>
      </c>
      <c r="H302" s="435">
        <f>E302-(F302*360)-(G302*30)</f>
        <v>0</v>
      </c>
      <c r="I302" s="437"/>
      <c r="J302" s="544">
        <v>39084</v>
      </c>
      <c r="K302" s="544">
        <v>39447</v>
      </c>
      <c r="L302" s="122">
        <f>K302</f>
        <v>39447</v>
      </c>
      <c r="M302" s="122">
        <f>IF(J302&gt;1,DAYS360(J302,K302)+1,0)</f>
        <v>360</v>
      </c>
      <c r="N302" s="221">
        <f>INT(M302/360)</f>
        <v>1</v>
      </c>
      <c r="O302" s="222">
        <f>INT(INT(M302-(N302*360))/30)</f>
        <v>0</v>
      </c>
      <c r="P302" s="435">
        <f>M302-(N302*360)-(O302*30)</f>
        <v>0</v>
      </c>
    </row>
    <row r="303" spans="9:16" s="29" customFormat="1" ht="15" customHeight="1">
      <c r="I303" s="440"/>
      <c r="J303" s="121"/>
      <c r="K303" s="121"/>
      <c r="L303" s="121"/>
      <c r="M303" s="140">
        <f>M302+M288</f>
        <v>7298</v>
      </c>
      <c r="N303" s="221">
        <f>INT(M303/360)</f>
        <v>20</v>
      </c>
      <c r="O303" s="222">
        <f>INT(INT(M303-(N303*360))/30)</f>
        <v>3</v>
      </c>
      <c r="P303" s="435">
        <f>M303-(N303*360)-(O303*30)</f>
        <v>8</v>
      </c>
    </row>
    <row r="304" spans="1:13" s="29" customFormat="1" ht="15" customHeight="1">
      <c r="A304" s="156" t="s">
        <v>54</v>
      </c>
      <c r="B304" s="153"/>
      <c r="C304" s="153"/>
      <c r="E304" s="204">
        <f>IF(A299=1,E289+E302,E289+E302+$D$13)</f>
        <v>7658</v>
      </c>
      <c r="F304" s="221">
        <f>INT(E304/360)</f>
        <v>21</v>
      </c>
      <c r="G304" s="222">
        <f>INT(INT(E304-(F304*360))/30)</f>
        <v>3</v>
      </c>
      <c r="H304" s="435">
        <f>E304-(F304*360)-(G304*30)</f>
        <v>8</v>
      </c>
      <c r="I304" s="440"/>
      <c r="J304" s="121"/>
      <c r="K304" s="121"/>
      <c r="L304" s="121"/>
      <c r="M304" s="121"/>
    </row>
    <row r="305" spans="3:13" s="29" customFormat="1" ht="15" customHeight="1">
      <c r="C305" s="153"/>
      <c r="D305" s="153"/>
      <c r="E305" s="174"/>
      <c r="F305" s="132"/>
      <c r="G305" s="175"/>
      <c r="H305" s="132"/>
      <c r="I305" s="440"/>
      <c r="J305" s="121"/>
      <c r="K305" s="121"/>
      <c r="L305" s="121"/>
      <c r="M305" s="121"/>
    </row>
    <row r="306" spans="1:13" s="29" customFormat="1" ht="15" customHeight="1">
      <c r="A306" s="152" t="s">
        <v>57</v>
      </c>
      <c r="C306" s="165"/>
      <c r="D306" s="165"/>
      <c r="E306" s="169" t="s">
        <v>151</v>
      </c>
      <c r="G306" s="170">
        <f>IF(F304&lt;3,0,IF(F304&lt;9,3,IF(F304&lt;15,9,IF(F304&lt;21,15,IF(F304&lt;28,21,IF(F304&lt;35,28,IF(F304&lt;40,35)))))))</f>
        <v>21</v>
      </c>
      <c r="H306" s="152" t="s">
        <v>152</v>
      </c>
      <c r="I306" s="450" t="str">
        <f>IF(G306&lt;3,"0-2",IF(G306&lt;9,"3-8",IF(G306&lt;15,"9-14",IF(G306&lt;21,"15-20",IF(G306&lt;28,"21-27",IF(G306&lt;35,"28-35"))))))</f>
        <v>21-27</v>
      </c>
      <c r="J306" s="121"/>
      <c r="K306" s="121"/>
      <c r="L306" s="121"/>
      <c r="M306" s="121"/>
    </row>
    <row r="307" spans="3:13" s="29" customFormat="1" ht="15" customHeight="1">
      <c r="C307" s="223"/>
      <c r="D307" s="224"/>
      <c r="F307" s="225"/>
      <c r="G307" s="225"/>
      <c r="H307" s="145"/>
      <c r="I307" s="437"/>
      <c r="J307" s="121"/>
      <c r="K307" s="121"/>
      <c r="L307" s="121"/>
      <c r="M307" s="121"/>
    </row>
    <row r="308" spans="1:13" s="29" customFormat="1" ht="15" customHeight="1">
      <c r="A308" s="205" t="s">
        <v>74</v>
      </c>
      <c r="B308" s="212"/>
      <c r="C308" s="203"/>
      <c r="D308" s="167"/>
      <c r="E308" s="203"/>
      <c r="I308" s="437"/>
      <c r="J308" s="121"/>
      <c r="K308" s="121"/>
      <c r="L308" s="121"/>
      <c r="M308" s="121"/>
    </row>
    <row r="309" spans="1:13" s="29" customFormat="1" ht="15" customHeight="1">
      <c r="A309" s="194" t="s">
        <v>164</v>
      </c>
      <c r="B309" s="194" t="s">
        <v>55</v>
      </c>
      <c r="C309" s="400"/>
      <c r="E309" s="432">
        <f>HLOOKUP($B$7,TAB!L462:S469,F301)</f>
        <v>28438.18</v>
      </c>
      <c r="I309" s="437"/>
      <c r="J309" s="121"/>
      <c r="K309" s="121"/>
      <c r="L309" s="121"/>
      <c r="M309" s="121"/>
    </row>
    <row r="310" spans="1:13" s="29" customFormat="1" ht="15" customHeight="1" thickBot="1">
      <c r="A310" s="194" t="s">
        <v>297</v>
      </c>
      <c r="C310" s="209"/>
      <c r="D310" s="208"/>
      <c r="E310" s="500">
        <f>IF(E295=0,0,IF(AND(E295&gt;0,A300&gt;0),0,647.79))</f>
        <v>0</v>
      </c>
      <c r="I310" s="437"/>
      <c r="J310" s="121"/>
      <c r="K310" s="121"/>
      <c r="L310" s="121"/>
      <c r="M310" s="121"/>
    </row>
    <row r="311" spans="1:13" s="29" customFormat="1" ht="15" customHeight="1" thickBot="1" thickTop="1">
      <c r="A311" s="194" t="s">
        <v>163</v>
      </c>
      <c r="B311" s="212"/>
      <c r="C311" s="213"/>
      <c r="D311" s="203"/>
      <c r="E311" s="432">
        <f>SUM(E309:E310)</f>
        <v>28438.18</v>
      </c>
      <c r="F311" s="197"/>
      <c r="G311" s="198"/>
      <c r="H311" s="458" t="s">
        <v>221</v>
      </c>
      <c r="I311" s="461">
        <f>E311/12</f>
        <v>2369.8483333333334</v>
      </c>
      <c r="J311" s="121"/>
      <c r="K311" s="121"/>
      <c r="L311" s="121"/>
      <c r="M311" s="121"/>
    </row>
    <row r="312" spans="10:13" s="29" customFormat="1" ht="15" customHeight="1">
      <c r="J312" s="121"/>
      <c r="K312" s="121"/>
      <c r="L312" s="121"/>
      <c r="M312" s="121"/>
    </row>
    <row r="313" spans="1:13" s="29" customFormat="1" ht="15" customHeight="1">
      <c r="A313" s="537">
        <f>IF(AND(H315=18,A299=1),"PER COMPIUTA ANZIANITA' DI ANNI 18 L'ANZ SOLO EC SI RICONGIUNGE A QUELLA G.E.",1)</f>
        <v>1</v>
      </c>
      <c r="J313" s="121"/>
      <c r="K313" s="121"/>
      <c r="L313" s="121"/>
      <c r="M313" s="121"/>
    </row>
    <row r="314" spans="1:13" s="29" customFormat="1" ht="15" customHeight="1">
      <c r="A314" s="6" t="str">
        <f>IF(F318=3,"PER COMPIUTA ANZIANITA' DI ANNI 3 COMPETE LA SEGUENTE POSIZIONE",IF(F318=9,"PER COMPIUTA ANZIANITA' DI ANNI 9 COMPETE LA SEGUENTE POSIZIONE",IF(F318=15,"PER COMPIUTA ANZIANITA' DI ANNI 15 COMPETE LA SEGUENTE POSIZIONE",IF(F318=21,"PER COMPIUTA ANZIANITA' DI ANNI 21 COMPETE LA SEGUENTE POSIZIONE",IF(F318=28,"PER COMPIUTA ANZIANITA' DI ANNI 28 COMPETE LA SEGUENTE POSIZIONE",IF(F318=35,"PER COMPIUTA ANZIANITA' DI ANNI 35 COMPETE LA SEGUENTE POSIZIONE",0))))))</f>
        <v>PER COMPIUTA ANZIANITA' DI ANNI 21 COMPETE LA SEGUENTE POSIZIONE</v>
      </c>
      <c r="H314" s="121"/>
      <c r="I314" s="437"/>
      <c r="J314" s="121"/>
      <c r="K314" s="121"/>
      <c r="L314" s="121"/>
      <c r="M314" s="121"/>
    </row>
    <row r="315" spans="1:13" s="29" customFormat="1" ht="15" customHeight="1">
      <c r="A315" s="206" t="s">
        <v>98</v>
      </c>
      <c r="B315" s="499">
        <v>39539</v>
      </c>
      <c r="C315" s="220"/>
      <c r="D315" s="207">
        <f>D316</f>
        <v>39538</v>
      </c>
      <c r="E315" s="170">
        <f>G320</f>
        <v>21</v>
      </c>
      <c r="F315" s="161">
        <f>IF(E315&lt;3,2,IF(E315&lt;9,3,IF(E315&lt;15,4,IF(E315&lt;21,5,IF(E315&lt;28,6,IF(E315&lt;35,7,IF(E315&lt;41,8)))))))</f>
        <v>6</v>
      </c>
      <c r="G315" s="200" t="s">
        <v>201</v>
      </c>
      <c r="H315" s="567">
        <f>IF(H301=18,"",N317)</f>
        <v>20</v>
      </c>
      <c r="I315" s="437"/>
      <c r="J315" s="121"/>
      <c r="K315" s="121"/>
      <c r="L315" s="121"/>
      <c r="M315" s="121"/>
    </row>
    <row r="316" spans="1:16" s="29" customFormat="1" ht="15" customHeight="1">
      <c r="A316" s="138" t="s">
        <v>140</v>
      </c>
      <c r="B316" s="139">
        <v>39448</v>
      </c>
      <c r="C316" s="139">
        <v>39538</v>
      </c>
      <c r="D316" s="166">
        <f>DATEVALUE("31/03/2008")</f>
        <v>39538</v>
      </c>
      <c r="E316" s="122">
        <f>IF(B316&gt;1,DAYS360(B316,C316)+1,0)</f>
        <v>91</v>
      </c>
      <c r="F316" s="221">
        <f>INT(E316/360)</f>
        <v>0</v>
      </c>
      <c r="G316" s="222">
        <f>INT(INT(E316-(F316*360))/30)</f>
        <v>3</v>
      </c>
      <c r="H316" s="435">
        <f>E316-(F316*360)-(G316*30)</f>
        <v>1</v>
      </c>
      <c r="I316" s="437"/>
      <c r="J316" s="544">
        <v>39448</v>
      </c>
      <c r="K316" s="544">
        <v>39538</v>
      </c>
      <c r="L316" s="122">
        <f>K316</f>
        <v>39538</v>
      </c>
      <c r="M316" s="122">
        <f>IF(J316&gt;1,DAYS360(J316,K316)+1,0)</f>
        <v>91</v>
      </c>
      <c r="N316" s="221">
        <f>INT(M316/360)</f>
        <v>0</v>
      </c>
      <c r="O316" s="222">
        <f>INT(INT(M316-(N316*360))/30)</f>
        <v>3</v>
      </c>
      <c r="P316" s="435">
        <f>M316-(N316*360)-(O316*30)</f>
        <v>1</v>
      </c>
    </row>
    <row r="317" spans="9:16" s="29" customFormat="1" ht="15" customHeight="1">
      <c r="I317" s="440"/>
      <c r="J317" s="121"/>
      <c r="K317" s="121"/>
      <c r="L317" s="121"/>
      <c r="M317" s="140">
        <f>M316+M303</f>
        <v>7389</v>
      </c>
      <c r="N317" s="221">
        <f>INT(M317/360)</f>
        <v>20</v>
      </c>
      <c r="O317" s="222">
        <f>INT(INT(M317-(N317*360))/30)</f>
        <v>6</v>
      </c>
      <c r="P317" s="435">
        <f>M317-(N317*360)-(O317*30)</f>
        <v>9</v>
      </c>
    </row>
    <row r="318" spans="1:13" s="29" customFormat="1" ht="15" customHeight="1">
      <c r="A318" s="156" t="s">
        <v>309</v>
      </c>
      <c r="B318" s="153"/>
      <c r="C318" s="153"/>
      <c r="E318" s="204">
        <f>IF(A313=1,E304+E316,E304+E316+$D$13)</f>
        <v>7749</v>
      </c>
      <c r="F318" s="221">
        <f>INT(E318/360)</f>
        <v>21</v>
      </c>
      <c r="G318" s="222">
        <f>INT(INT(E318-(F318*360))/30)</f>
        <v>6</v>
      </c>
      <c r="H318" s="435">
        <f>E318-(F318*360)-(G318*30)</f>
        <v>9</v>
      </c>
      <c r="I318" s="440"/>
      <c r="J318" s="121"/>
      <c r="K318" s="121"/>
      <c r="L318" s="121"/>
      <c r="M318" s="121"/>
    </row>
    <row r="319" spans="3:13" s="29" customFormat="1" ht="15" customHeight="1">
      <c r="C319" s="153"/>
      <c r="D319" s="153"/>
      <c r="E319" s="174"/>
      <c r="F319" s="132"/>
      <c r="G319" s="175"/>
      <c r="H319" s="132"/>
      <c r="I319" s="440"/>
      <c r="J319" s="121"/>
      <c r="K319" s="121"/>
      <c r="L319" s="121"/>
      <c r="M319" s="121"/>
    </row>
    <row r="320" spans="1:13" s="29" customFormat="1" ht="15" customHeight="1">
      <c r="A320" s="152" t="s">
        <v>312</v>
      </c>
      <c r="C320" s="165"/>
      <c r="D320" s="165"/>
      <c r="E320" s="169" t="s">
        <v>151</v>
      </c>
      <c r="G320" s="170">
        <f>IF(F318&lt;3,0,IF(F318&lt;9,3,IF(F318&lt;15,9,IF(F318&lt;21,15,IF(F318&lt;28,21,IF(F318&lt;35,28,IF(F318&lt;40,35)))))))</f>
        <v>21</v>
      </c>
      <c r="H320" s="152" t="s">
        <v>152</v>
      </c>
      <c r="I320" s="450" t="str">
        <f>IF(G320&lt;3,"0-2",IF(G320&lt;9,"3-8",IF(G320&lt;15,"9-14",IF(G320&lt;21,"15-20",IF(G320&lt;28,"21-27",IF(G320&lt;35,"28-35"))))))</f>
        <v>21-27</v>
      </c>
      <c r="J320" s="121"/>
      <c r="K320" s="121"/>
      <c r="L320" s="121"/>
      <c r="M320" s="121"/>
    </row>
    <row r="321" spans="3:13" s="29" customFormat="1" ht="15" customHeight="1">
      <c r="C321" s="223"/>
      <c r="D321" s="224"/>
      <c r="F321" s="225"/>
      <c r="G321" s="225"/>
      <c r="H321" s="145"/>
      <c r="I321" s="437"/>
      <c r="J321" s="121"/>
      <c r="K321" s="121"/>
      <c r="L321" s="121"/>
      <c r="M321" s="121"/>
    </row>
    <row r="322" spans="1:13" s="29" customFormat="1" ht="15" customHeight="1">
      <c r="A322" s="205" t="s">
        <v>346</v>
      </c>
      <c r="B322" s="212"/>
      <c r="C322" s="203"/>
      <c r="D322" s="167"/>
      <c r="E322" s="203"/>
      <c r="I322" s="437"/>
      <c r="J322" s="121"/>
      <c r="K322" s="121"/>
      <c r="L322" s="121"/>
      <c r="M322" s="121"/>
    </row>
    <row r="323" spans="1:13" s="29" customFormat="1" ht="15" customHeight="1">
      <c r="A323" s="194" t="s">
        <v>164</v>
      </c>
      <c r="B323" s="194" t="s">
        <v>344</v>
      </c>
      <c r="C323" s="400"/>
      <c r="E323" s="432">
        <f>HLOOKUP($B$7,TAB!L462:S469,F315)</f>
        <v>28438.18</v>
      </c>
      <c r="I323" s="437"/>
      <c r="J323" s="121"/>
      <c r="K323" s="121"/>
      <c r="L323" s="121"/>
      <c r="M323" s="121"/>
    </row>
    <row r="324" spans="1:13" s="29" customFormat="1" ht="15" customHeight="1">
      <c r="A324" s="194" t="s">
        <v>297</v>
      </c>
      <c r="C324" s="209"/>
      <c r="D324" s="208"/>
      <c r="E324" s="431">
        <f>IF(E310=0,0,IF(AND(E310&gt;0,A314&gt;0),0,647.79))</f>
        <v>0</v>
      </c>
      <c r="I324" s="437"/>
      <c r="J324" s="121"/>
      <c r="K324" s="121"/>
      <c r="L324" s="121"/>
      <c r="M324" s="121"/>
    </row>
    <row r="325" spans="1:13" s="29" customFormat="1" ht="15" customHeight="1" thickBot="1">
      <c r="A325" s="194" t="s">
        <v>311</v>
      </c>
      <c r="C325" s="209"/>
      <c r="D325" s="208"/>
      <c r="E325" s="500">
        <f>9.04*12</f>
        <v>108.47999999999999</v>
      </c>
      <c r="I325" s="437"/>
      <c r="J325" s="121"/>
      <c r="K325" s="121"/>
      <c r="L325" s="121"/>
      <c r="M325" s="121"/>
    </row>
    <row r="326" spans="1:13" s="29" customFormat="1" ht="15" customHeight="1" thickBot="1" thickTop="1">
      <c r="A326" s="194" t="s">
        <v>163</v>
      </c>
      <c r="B326" s="212"/>
      <c r="C326" s="213"/>
      <c r="D326" s="203"/>
      <c r="E326" s="432">
        <f>SUM(E323:E325)</f>
        <v>28546.66</v>
      </c>
      <c r="F326" s="197"/>
      <c r="G326" s="198"/>
      <c r="H326" s="458" t="s">
        <v>221</v>
      </c>
      <c r="I326" s="461">
        <f>E326/12</f>
        <v>2378.8883333333333</v>
      </c>
      <c r="J326" s="121"/>
      <c r="K326" s="121"/>
      <c r="L326" s="121"/>
      <c r="M326" s="121"/>
    </row>
    <row r="327" spans="10:13" s="29" customFormat="1" ht="15" customHeight="1">
      <c r="J327" s="121"/>
      <c r="K327" s="121"/>
      <c r="L327" s="121"/>
      <c r="M327" s="121"/>
    </row>
    <row r="328" spans="1:13" s="29" customFormat="1" ht="15" customHeight="1">
      <c r="A328" s="537">
        <f>IF(AND(H330=18,A299=1),"PER COMPIUTA ANZIANITA' DI ANNI 18 L'ANZ SOLO EC SI RICONGIUNGE A QUELLA G.E.",1)</f>
        <v>1</v>
      </c>
      <c r="J328" s="121"/>
      <c r="K328" s="121"/>
      <c r="L328" s="121"/>
      <c r="M328" s="121"/>
    </row>
    <row r="329" spans="1:13" s="29" customFormat="1" ht="15" customHeight="1">
      <c r="A329" s="6" t="str">
        <f>IF(F333=3,"PER COMPIUTA ANZIANITA' DI ANNI 3 COMPETE LA SEGUENTE POSIZIONE",IF(F333=9,"PER COMPIUTA ANZIANITA' DI ANNI 9 COMPETE LA SEGUENTE POSIZIONE",IF(F333=15,"PER COMPIUTA ANZIANITA' DI ANNI 15 COMPETE LA SEGUENTE POSIZIONE",IF(F333=21,"PER COMPIUTA ANZIANITA' DI ANNI 21 COMPETE LA SEGUENTE POSIZIONE",IF(F333=28,"PER COMPIUTA ANZIANITA' DI ANNI 28 COMPETE LA SEGUENTE POSIZIONE",IF(F333=35,"PER COMPIUTA ANZIANITA' DI ANNI 35 COMPETE LA SEGUENTE POSIZIONE",0))))))</f>
        <v>PER COMPIUTA ANZIANITA' DI ANNI 21 COMPETE LA SEGUENTE POSIZIONE</v>
      </c>
      <c r="H329" s="121"/>
      <c r="I329" s="437"/>
      <c r="J329" s="121"/>
      <c r="K329" s="121"/>
      <c r="L329" s="121"/>
      <c r="M329" s="121"/>
    </row>
    <row r="330" spans="1:13" s="29" customFormat="1" ht="15" customHeight="1">
      <c r="A330" s="206" t="s">
        <v>98</v>
      </c>
      <c r="B330" s="499">
        <v>39630</v>
      </c>
      <c r="C330" s="220"/>
      <c r="D330" s="207">
        <f>D331</f>
        <v>39629</v>
      </c>
      <c r="E330" s="170">
        <f>G335</f>
        <v>21</v>
      </c>
      <c r="F330" s="161">
        <f>IF(E330&lt;3,2,IF(E330&lt;9,3,IF(E330&lt;15,4,IF(E330&lt;21,5,IF(E330&lt;28,6,IF(E330&lt;35,7,IF(E330&lt;41,8)))))))</f>
        <v>6</v>
      </c>
      <c r="G330" s="200" t="s">
        <v>201</v>
      </c>
      <c r="H330" s="567">
        <f>IF(H315="","",IF(H315=18,"",N332))</f>
        <v>20</v>
      </c>
      <c r="I330" s="437"/>
      <c r="J330" s="121"/>
      <c r="K330" s="121"/>
      <c r="L330" s="121"/>
      <c r="M330" s="121"/>
    </row>
    <row r="331" spans="1:16" s="29" customFormat="1" ht="15" customHeight="1">
      <c r="A331" s="138" t="s">
        <v>140</v>
      </c>
      <c r="B331" s="139">
        <v>39539</v>
      </c>
      <c r="C331" s="139">
        <v>39629</v>
      </c>
      <c r="D331" s="166">
        <f>DATEVALUE("30/06/2008")</f>
        <v>39629</v>
      </c>
      <c r="E331" s="122">
        <f>IF(B331&gt;1,DAYS360(B331,C331)+1,0)</f>
        <v>90</v>
      </c>
      <c r="F331" s="221">
        <f>INT(E331/360)</f>
        <v>0</v>
      </c>
      <c r="G331" s="222">
        <f>INT(INT(E331-(F331*360))/30)</f>
        <v>3</v>
      </c>
      <c r="H331" s="435">
        <f>E331-(F331*360)-(G331*30)</f>
        <v>0</v>
      </c>
      <c r="I331" s="437"/>
      <c r="J331" s="544">
        <v>39539</v>
      </c>
      <c r="K331" s="544">
        <v>39629</v>
      </c>
      <c r="L331" s="122">
        <f>K331</f>
        <v>39629</v>
      </c>
      <c r="M331" s="122">
        <f>IF(J331&gt;1,DAYS360(J331,K331)+1,0)</f>
        <v>90</v>
      </c>
      <c r="N331" s="221">
        <f>INT(M331/360)</f>
        <v>0</v>
      </c>
      <c r="O331" s="222">
        <f>INT(INT(M331-(N331*360))/30)</f>
        <v>3</v>
      </c>
      <c r="P331" s="435">
        <f>M331-(N331*360)-(O331*30)</f>
        <v>0</v>
      </c>
    </row>
    <row r="332" spans="9:16" s="29" customFormat="1" ht="15" customHeight="1">
      <c r="I332" s="440"/>
      <c r="J332" s="121"/>
      <c r="K332" s="121"/>
      <c r="L332" s="121"/>
      <c r="M332" s="140">
        <f>M331+M317</f>
        <v>7479</v>
      </c>
      <c r="N332" s="221">
        <f>INT(M332/360)</f>
        <v>20</v>
      </c>
      <c r="O332" s="222">
        <f>INT(INT(M332-(N332*360))/30)</f>
        <v>9</v>
      </c>
      <c r="P332" s="435">
        <f>M332-(N332*360)-(O332*30)</f>
        <v>9</v>
      </c>
    </row>
    <row r="333" spans="1:13" s="29" customFormat="1" ht="15" customHeight="1">
      <c r="A333" s="156" t="s">
        <v>313</v>
      </c>
      <c r="B333" s="153"/>
      <c r="C333" s="153"/>
      <c r="E333" s="204">
        <f>IF(A328=1,E318+E331,E318+E331+$D$13)</f>
        <v>7839</v>
      </c>
      <c r="F333" s="221">
        <f>INT(E333/360)</f>
        <v>21</v>
      </c>
      <c r="G333" s="222">
        <f>INT(INT(E333-(F333*360))/30)</f>
        <v>9</v>
      </c>
      <c r="H333" s="435">
        <f>E333-(F333*360)-(G333*30)</f>
        <v>9</v>
      </c>
      <c r="I333" s="440"/>
      <c r="J333" s="121"/>
      <c r="K333" s="121"/>
      <c r="L333" s="121"/>
      <c r="M333" s="121"/>
    </row>
    <row r="334" spans="3:13" s="29" customFormat="1" ht="15" customHeight="1">
      <c r="C334" s="153"/>
      <c r="D334" s="153"/>
      <c r="E334" s="174"/>
      <c r="F334" s="132"/>
      <c r="G334" s="175"/>
      <c r="H334" s="132"/>
      <c r="I334" s="440"/>
      <c r="J334" s="121"/>
      <c r="K334" s="121"/>
      <c r="L334" s="121"/>
      <c r="M334" s="121"/>
    </row>
    <row r="335" spans="1:13" s="29" customFormat="1" ht="15" customHeight="1">
      <c r="A335" s="152" t="s">
        <v>312</v>
      </c>
      <c r="C335" s="165"/>
      <c r="D335" s="165"/>
      <c r="E335" s="169" t="s">
        <v>151</v>
      </c>
      <c r="G335" s="170">
        <f>IF(F333&lt;3,0,IF(F333&lt;9,3,IF(F333&lt;15,9,IF(F333&lt;21,15,IF(F333&lt;28,21,IF(F333&lt;35,28,IF(F333&lt;40,35)))))))</f>
        <v>21</v>
      </c>
      <c r="H335" s="152" t="s">
        <v>152</v>
      </c>
      <c r="I335" s="450" t="str">
        <f>IF(G335&lt;3,"0-2",IF(G335&lt;9,"3-8",IF(G335&lt;15,"9-14",IF(G335&lt;21,"15-20",IF(G335&lt;28,"21-27",IF(G335&lt;35,"28-35"))))))</f>
        <v>21-27</v>
      </c>
      <c r="J335" s="121"/>
      <c r="K335" s="121"/>
      <c r="L335" s="121"/>
      <c r="M335" s="121"/>
    </row>
    <row r="336" spans="3:13" s="29" customFormat="1" ht="15" customHeight="1">
      <c r="C336" s="223"/>
      <c r="D336" s="224"/>
      <c r="F336" s="225"/>
      <c r="G336" s="225"/>
      <c r="H336" s="145"/>
      <c r="I336" s="437"/>
      <c r="J336" s="121"/>
      <c r="K336" s="121"/>
      <c r="L336" s="121"/>
      <c r="M336" s="121"/>
    </row>
    <row r="337" spans="1:13" s="29" customFormat="1" ht="15" customHeight="1">
      <c r="A337" s="205" t="s">
        <v>348</v>
      </c>
      <c r="B337" s="212"/>
      <c r="C337" s="203"/>
      <c r="D337" s="167"/>
      <c r="E337" s="203"/>
      <c r="I337" s="437"/>
      <c r="J337" s="121"/>
      <c r="K337" s="121"/>
      <c r="L337" s="121"/>
      <c r="M337" s="121"/>
    </row>
    <row r="338" spans="1:13" s="29" customFormat="1" ht="15" customHeight="1">
      <c r="A338" s="194" t="s">
        <v>164</v>
      </c>
      <c r="B338" s="194" t="s">
        <v>344</v>
      </c>
      <c r="C338" s="400"/>
      <c r="E338" s="432">
        <f>HLOOKUP($B$7,TAB!L462:S469,F330)</f>
        <v>28438.18</v>
      </c>
      <c r="I338" s="437"/>
      <c r="J338" s="121"/>
      <c r="K338" s="121"/>
      <c r="L338" s="121"/>
      <c r="M338" s="121"/>
    </row>
    <row r="339" spans="1:13" s="29" customFormat="1" ht="15" customHeight="1">
      <c r="A339" s="194" t="s">
        <v>297</v>
      </c>
      <c r="C339" s="209"/>
      <c r="D339" s="208"/>
      <c r="E339" s="431">
        <f>IF(E324=0,0,IF(AND(E324&gt;0,A329&gt;0),0,647.79))</f>
        <v>0</v>
      </c>
      <c r="I339" s="437"/>
      <c r="J339" s="121"/>
      <c r="K339" s="121"/>
      <c r="L339" s="121"/>
      <c r="M339" s="121"/>
    </row>
    <row r="340" spans="1:13" s="29" customFormat="1" ht="15" customHeight="1" thickBot="1">
      <c r="A340" s="194" t="s">
        <v>311</v>
      </c>
      <c r="C340" s="209"/>
      <c r="D340" s="208"/>
      <c r="E340" s="500">
        <f>15.06*12</f>
        <v>180.72</v>
      </c>
      <c r="I340" s="437"/>
      <c r="J340" s="121"/>
      <c r="K340" s="121"/>
      <c r="L340" s="121"/>
      <c r="M340" s="121"/>
    </row>
    <row r="341" spans="1:13" s="29" customFormat="1" ht="15" customHeight="1" thickBot="1" thickTop="1">
      <c r="A341" s="194" t="s">
        <v>163</v>
      </c>
      <c r="B341" s="212"/>
      <c r="C341" s="213"/>
      <c r="D341" s="203"/>
      <c r="E341" s="432">
        <f>SUM(E338:E340)</f>
        <v>28618.9</v>
      </c>
      <c r="F341" s="197"/>
      <c r="G341" s="198"/>
      <c r="H341" s="458" t="s">
        <v>221</v>
      </c>
      <c r="I341" s="461">
        <f>E341/12</f>
        <v>2384.9083333333333</v>
      </c>
      <c r="J341" s="121"/>
      <c r="K341" s="121"/>
      <c r="L341" s="121"/>
      <c r="M341" s="121"/>
    </row>
    <row r="342" spans="10:13" s="29" customFormat="1" ht="15" customHeight="1">
      <c r="J342" s="121"/>
      <c r="K342" s="121"/>
      <c r="L342" s="121"/>
      <c r="M342" s="121"/>
    </row>
    <row r="343" spans="1:13" s="29" customFormat="1" ht="15" customHeight="1">
      <c r="A343" s="537">
        <f>IF(AND(H345=18,A313=1),"PER COMPIUTA ANZIANITA' DI ANNI 18 L'ANZ SOLO EC SI RICONGIUNGE A QUELLA G.E.",1)</f>
        <v>1</v>
      </c>
      <c r="J343" s="121"/>
      <c r="K343" s="121"/>
      <c r="L343" s="121"/>
      <c r="M343" s="121"/>
    </row>
    <row r="344" spans="1:13" s="29" customFormat="1" ht="15" customHeight="1">
      <c r="A344" s="6">
        <f>IF(F348=3,"PER COMPIUTA ANZIANITA' DI ANNI 3 COMPETE LA SEGUENTE POSIZIONE",IF(F348=9,"PER COMPIUTA ANZIANITA' DI ANNI 9 COMPETE LA SEGUENTE POSIZIONE",IF(F348=15,"PER COMPIUTA ANZIANITA' DI ANNI 15 COMPETE LA SEGUENTE POSIZIONE",IF(F348=21,"PER COMPIUTA ANZIANITA' DI ANNI 21 COMPETE LA SEGUENTE POSIZIONE",IF(F348=28,"PER COMPIUTA ANZIANITA' DI ANNI 28 COMPETE LA SEGUENTE POSIZIONE",IF(F348=35,"PER COMPIUTA ANZIANITA' DI ANNI 35 COMPETE LA SEGUENTE POSIZIONE",0))))))</f>
        <v>0</v>
      </c>
      <c r="H344" s="121"/>
      <c r="I344" s="437"/>
      <c r="J344" s="121"/>
      <c r="K344" s="121"/>
      <c r="L344" s="121"/>
      <c r="M344" s="121"/>
    </row>
    <row r="345" spans="1:13" s="29" customFormat="1" ht="15" customHeight="1">
      <c r="A345" s="206" t="s">
        <v>98</v>
      </c>
      <c r="B345" s="499">
        <v>39813</v>
      </c>
      <c r="C345" s="220"/>
      <c r="D345" s="207">
        <f>D346</f>
        <v>39813</v>
      </c>
      <c r="E345" s="170">
        <f>G350</f>
        <v>21</v>
      </c>
      <c r="F345" s="161">
        <f>IF(E345&lt;3,2,IF(E345&lt;9,3,IF(E345&lt;15,4,IF(E345&lt;21,5,IF(E345&lt;28,6,IF(E345&lt;35,7,IF(E345&lt;41,8)))))))</f>
        <v>6</v>
      </c>
      <c r="G345" s="200" t="s">
        <v>201</v>
      </c>
      <c r="H345" s="567">
        <f>IF(H330="","",IF(H330=18,"",N347))</f>
        <v>21</v>
      </c>
      <c r="I345" s="437"/>
      <c r="J345" s="121"/>
      <c r="K345" s="121"/>
      <c r="L345" s="121"/>
      <c r="M345" s="121"/>
    </row>
    <row r="346" spans="1:16" s="29" customFormat="1" ht="15" customHeight="1">
      <c r="A346" s="138" t="s">
        <v>140</v>
      </c>
      <c r="B346" s="139">
        <v>39630</v>
      </c>
      <c r="C346" s="139">
        <v>39813</v>
      </c>
      <c r="D346" s="166">
        <f>DATEVALUE("31/12/2008")</f>
        <v>39813</v>
      </c>
      <c r="E346" s="122">
        <f>IF(B346&gt;1,DAYS360(B346,C346)+1,0)</f>
        <v>181</v>
      </c>
      <c r="F346" s="221">
        <f>INT(E346/360)</f>
        <v>0</v>
      </c>
      <c r="G346" s="222">
        <f>INT(INT(E346-(F346*360))/30)</f>
        <v>6</v>
      </c>
      <c r="H346" s="435">
        <f>E346-(F346*360)-(G346*30)</f>
        <v>1</v>
      </c>
      <c r="I346" s="437"/>
      <c r="J346" s="544">
        <v>39630</v>
      </c>
      <c r="K346" s="544">
        <v>39813</v>
      </c>
      <c r="L346" s="122">
        <f>K346</f>
        <v>39813</v>
      </c>
      <c r="M346" s="122">
        <f>IF(J346&gt;1,DAYS360(J346,K346)+1,0)</f>
        <v>181</v>
      </c>
      <c r="N346" s="221">
        <f>INT(M346/360)</f>
        <v>0</v>
      </c>
      <c r="O346" s="222">
        <f>INT(INT(M346-(N346*360))/30)</f>
        <v>6</v>
      </c>
      <c r="P346" s="435">
        <f>M346-(N346*360)-(O346*30)</f>
        <v>1</v>
      </c>
    </row>
    <row r="347" spans="9:16" s="29" customFormat="1" ht="15" customHeight="1">
      <c r="I347" s="440"/>
      <c r="J347" s="121"/>
      <c r="K347" s="121"/>
      <c r="L347" s="121"/>
      <c r="M347" s="140">
        <f>M346+M332</f>
        <v>7660</v>
      </c>
      <c r="N347" s="221">
        <f>INT(M347/360)</f>
        <v>21</v>
      </c>
      <c r="O347" s="222">
        <f>INT(INT(M347-(N347*360))/30)</f>
        <v>3</v>
      </c>
      <c r="P347" s="435">
        <f>M347-(N347*360)-(O347*30)</f>
        <v>10</v>
      </c>
    </row>
    <row r="348" spans="1:13" s="29" customFormat="1" ht="15" customHeight="1">
      <c r="A348" s="156" t="s">
        <v>315</v>
      </c>
      <c r="B348" s="153"/>
      <c r="C348" s="153"/>
      <c r="E348" s="204">
        <f>IF(A343=1,E333+E346,E333+E346+$D$13)</f>
        <v>8020</v>
      </c>
      <c r="F348" s="221">
        <f>INT(E348/360)</f>
        <v>22</v>
      </c>
      <c r="G348" s="222">
        <f>INT(INT(E348-(F348*360))/30)</f>
        <v>3</v>
      </c>
      <c r="H348" s="435">
        <f>E348-(F348*360)-(G348*30)</f>
        <v>10</v>
      </c>
      <c r="I348" s="440"/>
      <c r="J348" s="121"/>
      <c r="K348" s="121"/>
      <c r="L348" s="121"/>
      <c r="M348" s="121"/>
    </row>
    <row r="349" spans="3:13" s="29" customFormat="1" ht="15" customHeight="1">
      <c r="C349" s="153"/>
      <c r="D349" s="153"/>
      <c r="E349" s="174"/>
      <c r="F349" s="132"/>
      <c r="G349" s="175"/>
      <c r="H349" s="132"/>
      <c r="I349" s="440"/>
      <c r="J349" s="121"/>
      <c r="K349" s="121"/>
      <c r="L349" s="121"/>
      <c r="M349" s="121"/>
    </row>
    <row r="350" spans="1:13" s="29" customFormat="1" ht="15" customHeight="1">
      <c r="A350" s="152" t="s">
        <v>312</v>
      </c>
      <c r="C350" s="165"/>
      <c r="D350" s="165"/>
      <c r="E350" s="169" t="s">
        <v>151</v>
      </c>
      <c r="G350" s="170">
        <f>IF(F348&lt;3,0,IF(F348&lt;9,3,IF(F348&lt;15,9,IF(F348&lt;21,15,IF(F348&lt;28,21,IF(F348&lt;35,28,IF(F348&lt;40,35)))))))</f>
        <v>21</v>
      </c>
      <c r="H350" s="152" t="s">
        <v>152</v>
      </c>
      <c r="I350" s="450" t="str">
        <f>IF(G350&lt;3,"0-2",IF(G350&lt;9,"3-8",IF(G350&lt;15,"9-14",IF(G350&lt;21,"15-20",IF(G350&lt;28,"21-27",IF(G350&lt;35,"28-35"))))))</f>
        <v>21-27</v>
      </c>
      <c r="J350" s="121"/>
      <c r="K350" s="121"/>
      <c r="L350" s="121"/>
      <c r="M350" s="121"/>
    </row>
    <row r="351" spans="3:13" s="29" customFormat="1" ht="15" customHeight="1">
      <c r="C351" s="223"/>
      <c r="D351" s="224"/>
      <c r="F351" s="225"/>
      <c r="G351" s="225"/>
      <c r="H351" s="145"/>
      <c r="I351" s="437"/>
      <c r="J351" s="121"/>
      <c r="K351" s="121"/>
      <c r="L351" s="121"/>
      <c r="M351" s="121"/>
    </row>
    <row r="352" spans="1:13" s="29" customFormat="1" ht="15" customHeight="1">
      <c r="A352" s="205" t="s">
        <v>314</v>
      </c>
      <c r="B352" s="212"/>
      <c r="C352" s="203"/>
      <c r="D352" s="167"/>
      <c r="E352" s="203"/>
      <c r="I352" s="437"/>
      <c r="J352" s="121"/>
      <c r="K352" s="121"/>
      <c r="L352" s="121"/>
      <c r="M352" s="121"/>
    </row>
    <row r="353" spans="1:13" s="29" customFormat="1" ht="15" customHeight="1">
      <c r="A353" s="194" t="s">
        <v>164</v>
      </c>
      <c r="B353" s="194" t="s">
        <v>344</v>
      </c>
      <c r="C353" s="400"/>
      <c r="E353" s="432">
        <f>HLOOKUP($B$7,TAB!L462:S469,F345)</f>
        <v>28438.18</v>
      </c>
      <c r="I353" s="437"/>
      <c r="J353" s="121"/>
      <c r="K353" s="121"/>
      <c r="L353" s="121"/>
      <c r="M353" s="121"/>
    </row>
    <row r="354" spans="1:13" s="29" customFormat="1" ht="15" customHeight="1">
      <c r="A354" s="194" t="s">
        <v>297</v>
      </c>
      <c r="C354" s="209"/>
      <c r="D354" s="208"/>
      <c r="E354" s="431">
        <f>IF(E339=0,0,IF(AND(E339&gt;0,A344&gt;0),0,647.79))</f>
        <v>0</v>
      </c>
      <c r="I354" s="437"/>
      <c r="J354" s="121"/>
      <c r="K354" s="121"/>
      <c r="L354" s="121"/>
      <c r="M354" s="121"/>
    </row>
    <row r="355" spans="1:13" s="29" customFormat="1" ht="15" customHeight="1" thickBot="1">
      <c r="A355" s="194" t="s">
        <v>311</v>
      </c>
      <c r="C355" s="209"/>
      <c r="D355" s="208"/>
      <c r="E355" s="469">
        <f>HLOOKUP($B$7,TAB!A492:D499,F345)*12</f>
        <v>1079.16</v>
      </c>
      <c r="I355" s="437"/>
      <c r="J355" s="121"/>
      <c r="K355" s="121"/>
      <c r="L355" s="121"/>
      <c r="M355" s="121"/>
    </row>
    <row r="356" spans="1:13" s="29" customFormat="1" ht="15" customHeight="1" thickBot="1" thickTop="1">
      <c r="A356" s="194" t="s">
        <v>163</v>
      </c>
      <c r="B356" s="212"/>
      <c r="C356" s="213"/>
      <c r="D356" s="203"/>
      <c r="E356" s="432">
        <f>SUM(E353:E355)</f>
        <v>29517.34</v>
      </c>
      <c r="F356" s="197"/>
      <c r="G356" s="198"/>
      <c r="H356" s="458" t="s">
        <v>221</v>
      </c>
      <c r="I356" s="461">
        <f>E356/12</f>
        <v>2459.778333333333</v>
      </c>
      <c r="J356" s="121"/>
      <c r="K356" s="121"/>
      <c r="L356" s="121"/>
      <c r="M356" s="121"/>
    </row>
    <row r="357" spans="10:13" s="29" customFormat="1" ht="15" customHeight="1">
      <c r="J357" s="121"/>
      <c r="K357" s="121"/>
      <c r="L357" s="121"/>
      <c r="M357" s="121"/>
    </row>
    <row r="358" spans="1:13" s="29" customFormat="1" ht="15" customHeight="1">
      <c r="A358" s="537">
        <f>IF(AND(H360=18,A328=1),"PER COMPIUTA ANZIANITA' DI ANNI 18 L'ANZ SOLO EC SI RICONGIUNGE A QUELLA G.E.",1)</f>
        <v>1</v>
      </c>
      <c r="J358" s="121"/>
      <c r="K358" s="121"/>
      <c r="L358" s="121"/>
      <c r="M358" s="121"/>
    </row>
    <row r="359" spans="1:13" s="29" customFormat="1" ht="15" customHeight="1">
      <c r="A359" s="6">
        <f>IF(F363=3,"PER COMPIUTA ANZIANITA' DI ANNI 3 COMPETE LA SEGUENTE POSIZIONE",IF(F363=9,"PER COMPIUTA ANZIANITA' DI ANNI 9 COMPETE LA SEGUENTE POSIZIONE",IF(F363=15,"PER COMPIUTA ANZIANITA' DI ANNI 15 COMPETE LA SEGUENTE POSIZIONE",IF(F363=21,"PER COMPIUTA ANZIANITA' DI ANNI 21 COMPETE LA SEGUENTE POSIZIONE",IF(F363=28,"PER COMPIUTA ANZIANITA' DI ANNI 28 COMPETE LA SEGUENTE POSIZIONE",IF(F363=35,"PER COMPIUTA ANZIANITA' DI ANNI 35 COMPETE LA SEGUENTE POSIZIONE",0))))))</f>
        <v>0</v>
      </c>
      <c r="H359" s="121"/>
      <c r="I359" s="437"/>
      <c r="J359" s="121"/>
      <c r="K359" s="121"/>
      <c r="L359" s="121"/>
      <c r="M359" s="121"/>
    </row>
    <row r="360" spans="1:13" s="29" customFormat="1" ht="15" customHeight="1">
      <c r="A360" s="206" t="s">
        <v>98</v>
      </c>
      <c r="B360" s="499">
        <v>40269</v>
      </c>
      <c r="C360" s="220"/>
      <c r="D360" s="207">
        <f>D361</f>
        <v>40268</v>
      </c>
      <c r="E360" s="170">
        <f>G365</f>
        <v>21</v>
      </c>
      <c r="F360" s="161">
        <f>IF(E360&lt;3,2,IF(E360&lt;9,3,IF(E360&lt;15,4,IF(E360&lt;21,5,IF(E360&lt;28,6,IF(E360&lt;35,7,IF(E360&lt;41,8)))))))</f>
        <v>6</v>
      </c>
      <c r="G360" s="200" t="s">
        <v>201</v>
      </c>
      <c r="H360" s="567">
        <f>IF(H345="","",IF(H345=18,"",N362))</f>
        <v>22</v>
      </c>
      <c r="I360" s="437"/>
      <c r="J360" s="121"/>
      <c r="K360" s="121"/>
      <c r="L360" s="121"/>
      <c r="M360" s="121"/>
    </row>
    <row r="361" spans="1:16" s="29" customFormat="1" ht="15" customHeight="1">
      <c r="A361" s="138" t="s">
        <v>140</v>
      </c>
      <c r="B361" s="139">
        <v>39814</v>
      </c>
      <c r="C361" s="139">
        <v>40268</v>
      </c>
      <c r="D361" s="166">
        <f>DATEVALUE("31/03/2010")</f>
        <v>40268</v>
      </c>
      <c r="E361" s="122">
        <f>IF(B361&gt;1,DAYS360(B361,C361)+1,0)</f>
        <v>451</v>
      </c>
      <c r="F361" s="221">
        <f>INT(E361/360)</f>
        <v>1</v>
      </c>
      <c r="G361" s="222">
        <f>INT(INT(E361-(F361*360))/30)</f>
        <v>3</v>
      </c>
      <c r="H361" s="435">
        <f>E361-(F361*360)-(G361*30)</f>
        <v>1</v>
      </c>
      <c r="I361" s="437"/>
      <c r="J361" s="544">
        <v>39814</v>
      </c>
      <c r="K361" s="544">
        <v>40268</v>
      </c>
      <c r="L361" s="122">
        <f>K361</f>
        <v>40268</v>
      </c>
      <c r="M361" s="122">
        <f>IF(J361&gt;1,DAYS360(J361,K361)+1,0)</f>
        <v>451</v>
      </c>
      <c r="N361" s="221">
        <f>INT(M361/360)</f>
        <v>1</v>
      </c>
      <c r="O361" s="222">
        <f>INT(INT(M361-(N361*360))/30)</f>
        <v>3</v>
      </c>
      <c r="P361" s="435">
        <f>M361-(N361*360)-(O361*30)</f>
        <v>1</v>
      </c>
    </row>
    <row r="362" spans="9:16" s="29" customFormat="1" ht="15" customHeight="1">
      <c r="I362" s="440"/>
      <c r="J362" s="121"/>
      <c r="K362" s="121"/>
      <c r="L362" s="121"/>
      <c r="M362" s="140">
        <f>M361+M347</f>
        <v>8111</v>
      </c>
      <c r="N362" s="221">
        <f>INT(M362/360)</f>
        <v>22</v>
      </c>
      <c r="O362" s="222">
        <f>INT(INT(M362-(N362*360))/30)</f>
        <v>6</v>
      </c>
      <c r="P362" s="435">
        <f>M362-(N362*360)-(O362*30)</f>
        <v>11</v>
      </c>
    </row>
    <row r="363" spans="1:13" s="29" customFormat="1" ht="15" customHeight="1">
      <c r="A363" s="156" t="s">
        <v>319</v>
      </c>
      <c r="B363" s="153"/>
      <c r="C363" s="153"/>
      <c r="D363" s="153"/>
      <c r="E363" s="204">
        <f>IF(A358=1,E348+E361,E348+E361+$D$13)</f>
        <v>8471</v>
      </c>
      <c r="F363" s="221">
        <f>INT(E363/360)</f>
        <v>23</v>
      </c>
      <c r="G363" s="222">
        <f>INT(INT(E363-(F363*360))/30)</f>
        <v>6</v>
      </c>
      <c r="H363" s="435">
        <f>E363-(F363*360)-(G363*30)</f>
        <v>11</v>
      </c>
      <c r="I363" s="440"/>
      <c r="J363" s="121"/>
      <c r="K363" s="121"/>
      <c r="L363" s="121"/>
      <c r="M363" s="121"/>
    </row>
    <row r="364" spans="3:13" s="29" customFormat="1" ht="15" customHeight="1">
      <c r="C364" s="153"/>
      <c r="D364" s="153"/>
      <c r="E364" s="174"/>
      <c r="F364" s="132"/>
      <c r="G364" s="175"/>
      <c r="H364" s="132"/>
      <c r="I364" s="440"/>
      <c r="J364" s="121"/>
      <c r="K364" s="121"/>
      <c r="L364" s="121"/>
      <c r="M364" s="121"/>
    </row>
    <row r="365" spans="1:13" s="29" customFormat="1" ht="15" customHeight="1">
      <c r="A365" s="152" t="s">
        <v>312</v>
      </c>
      <c r="C365" s="165"/>
      <c r="D365" s="165"/>
      <c r="E365" s="169" t="s">
        <v>151</v>
      </c>
      <c r="G365" s="170">
        <f>IF(F363&lt;3,0,IF(F363&lt;9,3,IF(F363&lt;15,9,IF(F363&lt;21,15,IF(F363&lt;28,21,IF(F363&lt;35,28,IF(F363&lt;40,35)))))))</f>
        <v>21</v>
      </c>
      <c r="H365" s="152" t="s">
        <v>152</v>
      </c>
      <c r="I365" s="450" t="str">
        <f>IF(G365&lt;3,"0-2",IF(G365&lt;9,"3-8",IF(G365&lt;15,"9-14",IF(G365&lt;21,"15-20",IF(G365&lt;28,"21-27",IF(G365&lt;35,"28-35"))))))</f>
        <v>21-27</v>
      </c>
      <c r="J365" s="121"/>
      <c r="K365" s="121"/>
      <c r="L365" s="121"/>
      <c r="M365" s="121"/>
    </row>
    <row r="366" spans="3:13" s="29" customFormat="1" ht="15" customHeight="1">
      <c r="C366" s="223"/>
      <c r="D366" s="224"/>
      <c r="F366" s="225"/>
      <c r="G366" s="225"/>
      <c r="H366" s="145"/>
      <c r="I366" s="437"/>
      <c r="J366" s="121"/>
      <c r="K366" s="121"/>
      <c r="L366" s="121"/>
      <c r="M366" s="121"/>
    </row>
    <row r="367" spans="1:13" s="29" customFormat="1" ht="15" customHeight="1">
      <c r="A367" s="205" t="s">
        <v>316</v>
      </c>
      <c r="B367" s="212"/>
      <c r="C367" s="203"/>
      <c r="D367" s="167"/>
      <c r="E367" s="203"/>
      <c r="I367" s="437"/>
      <c r="J367" s="121"/>
      <c r="K367" s="121"/>
      <c r="L367" s="121"/>
      <c r="M367" s="121"/>
    </row>
    <row r="368" spans="1:13" s="29" customFormat="1" ht="15" customHeight="1">
      <c r="A368" s="194" t="s">
        <v>164</v>
      </c>
      <c r="B368" s="194" t="s">
        <v>310</v>
      </c>
      <c r="C368" s="400"/>
      <c r="E368" s="432">
        <f>HLOOKUP($B$7,TAB!G492:H499,F360)</f>
        <v>29517.34</v>
      </c>
      <c r="I368" s="437"/>
      <c r="J368" s="121"/>
      <c r="K368" s="121"/>
      <c r="L368" s="121"/>
      <c r="M368" s="121"/>
    </row>
    <row r="369" spans="1:13" s="29" customFormat="1" ht="15" customHeight="1">
      <c r="A369" s="194" t="s">
        <v>297</v>
      </c>
      <c r="C369" s="209"/>
      <c r="D369" s="208"/>
      <c r="E369" s="431">
        <f>IF(E354=0,0,IF(AND(E354&gt;0,A359&gt;0),0,647.79))</f>
        <v>0</v>
      </c>
      <c r="I369" s="437"/>
      <c r="J369" s="121"/>
      <c r="K369" s="121"/>
      <c r="L369" s="121"/>
      <c r="M369" s="121"/>
    </row>
    <row r="370" spans="1:13" s="29" customFormat="1" ht="15" customHeight="1" thickBot="1">
      <c r="A370" s="194" t="s">
        <v>317</v>
      </c>
      <c r="C370" s="209"/>
      <c r="D370" s="208"/>
      <c r="E370" s="469">
        <f>8.28*12</f>
        <v>99.35999999999999</v>
      </c>
      <c r="I370" s="437"/>
      <c r="J370" s="121"/>
      <c r="K370" s="121"/>
      <c r="L370" s="121"/>
      <c r="M370" s="121"/>
    </row>
    <row r="371" spans="1:13" s="29" customFormat="1" ht="15" customHeight="1" thickBot="1" thickTop="1">
      <c r="A371" s="194" t="s">
        <v>163</v>
      </c>
      <c r="B371" s="212"/>
      <c r="C371" s="213"/>
      <c r="D371" s="203"/>
      <c r="E371" s="432">
        <f>SUM(E368:E370)</f>
        <v>29616.7</v>
      </c>
      <c r="F371" s="197"/>
      <c r="G371" s="198"/>
      <c r="H371" s="458" t="s">
        <v>221</v>
      </c>
      <c r="I371" s="461">
        <f>E371/12</f>
        <v>2468.0583333333334</v>
      </c>
      <c r="J371" s="121"/>
      <c r="K371" s="121"/>
      <c r="L371" s="121"/>
      <c r="M371" s="121"/>
    </row>
    <row r="372" spans="10:13" s="29" customFormat="1" ht="15" customHeight="1">
      <c r="J372" s="121"/>
      <c r="K372" s="121"/>
      <c r="L372" s="121"/>
      <c r="M372" s="121"/>
    </row>
    <row r="373" spans="1:13" s="29" customFormat="1" ht="15" customHeight="1">
      <c r="A373" s="537">
        <f>IF(AND(H375=18,A343=1),"PER COMPIUTA ANZIANITA' DI ANNI 18 L'ANZ SOLO EC SI RICONGIUNGE A QUELLA G.E.",1)</f>
        <v>1</v>
      </c>
      <c r="J373" s="121"/>
      <c r="K373" s="121"/>
      <c r="L373" s="121"/>
      <c r="M373" s="121"/>
    </row>
    <row r="374" spans="1:13" s="29" customFormat="1" ht="15" customHeight="1">
      <c r="A374" s="6">
        <f>IF(F378=3,"PER COMPIUTA ANZIANITA' DI ANNI 3 COMPETE LA SEGUENTE POSIZIONE",IF(F378=9,"PER COMPIUTA ANZIANITA' DI ANNI 9 COMPETE LA SEGUENTE POSIZIONE",IF(F378=15,"PER COMPIUTA ANZIANITA' DI ANNI 15 COMPETE LA SEGUENTE POSIZIONE",IF(F378=21,"PER COMPIUTA ANZIANITA' DI ANNI 21 COMPETE LA SEGUENTE POSIZIONE",IF(F378=28,"PER COMPIUTA ANZIANITA' DI ANNI 28 COMPETE LA SEGUENTE POSIZIONE",IF(F378=35,"PER COMPIUTA ANZIANITA' DI ANNI 35 COMPETE LA SEGUENTE POSIZIONE",0))))))</f>
        <v>0</v>
      </c>
      <c r="H374" s="121"/>
      <c r="I374" s="437"/>
      <c r="J374" s="121"/>
      <c r="K374" s="121"/>
      <c r="L374" s="121"/>
      <c r="M374" s="121"/>
    </row>
    <row r="375" spans="1:13" s="29" customFormat="1" ht="15" customHeight="1">
      <c r="A375" s="206" t="s">
        <v>98</v>
      </c>
      <c r="B375" s="499">
        <v>40360</v>
      </c>
      <c r="C375" s="220"/>
      <c r="D375" s="207">
        <f>D376</f>
        <v>40359</v>
      </c>
      <c r="E375" s="170">
        <f>G380</f>
        <v>21</v>
      </c>
      <c r="F375" s="161">
        <f>IF(E375&lt;3,2,IF(E375&lt;9,3,IF(E375&lt;15,4,IF(E375&lt;21,5,IF(E375&lt;28,6,IF(E375&lt;35,7,IF(E375&lt;41,8)))))))</f>
        <v>6</v>
      </c>
      <c r="G375" s="200" t="s">
        <v>201</v>
      </c>
      <c r="H375" s="567">
        <f>IF(H360="","",IF(H360=18,"",N377))</f>
        <v>22</v>
      </c>
      <c r="I375" s="437"/>
      <c r="J375" s="121"/>
      <c r="K375" s="121"/>
      <c r="L375" s="121"/>
      <c r="M375" s="121"/>
    </row>
    <row r="376" spans="1:16" s="29" customFormat="1" ht="15" customHeight="1">
      <c r="A376" s="138" t="s">
        <v>140</v>
      </c>
      <c r="B376" s="139">
        <v>40269</v>
      </c>
      <c r="C376" s="139">
        <v>40359</v>
      </c>
      <c r="D376" s="166">
        <f>DATEVALUE("30/06/2010")</f>
        <v>40359</v>
      </c>
      <c r="E376" s="122">
        <f>IF(B376&gt;1,DAYS360(B376,C376)+1,0)</f>
        <v>90</v>
      </c>
      <c r="F376" s="221">
        <f>INT(E376/360)</f>
        <v>0</v>
      </c>
      <c r="G376" s="222">
        <f>INT(INT(E376-(F376*360))/30)</f>
        <v>3</v>
      </c>
      <c r="H376" s="435">
        <f>E376-(F376*360)-(G376*30)</f>
        <v>0</v>
      </c>
      <c r="I376" s="437"/>
      <c r="J376" s="544">
        <v>40269</v>
      </c>
      <c r="K376" s="544">
        <v>40359</v>
      </c>
      <c r="L376" s="122">
        <f>K376</f>
        <v>40359</v>
      </c>
      <c r="M376" s="122">
        <f>IF(J376&gt;1,DAYS360(J376,K376)+1,0)</f>
        <v>90</v>
      </c>
      <c r="N376" s="221">
        <f>INT(M376/360)</f>
        <v>0</v>
      </c>
      <c r="O376" s="222">
        <f>INT(INT(M376-(N376*360))/30)</f>
        <v>3</v>
      </c>
      <c r="P376" s="435">
        <f>M376-(N376*360)-(O376*30)</f>
        <v>0</v>
      </c>
    </row>
    <row r="377" spans="9:16" s="29" customFormat="1" ht="15" customHeight="1">
      <c r="I377" s="440"/>
      <c r="J377" s="121"/>
      <c r="K377" s="121"/>
      <c r="L377" s="121"/>
      <c r="M377" s="140">
        <f>M376+M362</f>
        <v>8201</v>
      </c>
      <c r="N377" s="221">
        <f>INT(M377/360)</f>
        <v>22</v>
      </c>
      <c r="O377" s="222">
        <f>INT(INT(M377-(N377*360))/30)</f>
        <v>9</v>
      </c>
      <c r="P377" s="435">
        <f>M377-(N377*360)-(O377*30)</f>
        <v>11</v>
      </c>
    </row>
    <row r="378" spans="1:13" s="29" customFormat="1" ht="15" customHeight="1">
      <c r="A378" s="156" t="s">
        <v>320</v>
      </c>
      <c r="B378" s="153"/>
      <c r="C378" s="153"/>
      <c r="D378" s="153"/>
      <c r="E378" s="204">
        <f>IF(A373=1,E363+E376,E363+E376+$D$13)</f>
        <v>8561</v>
      </c>
      <c r="F378" s="221">
        <f>INT(E378/360)</f>
        <v>23</v>
      </c>
      <c r="G378" s="222">
        <f>INT(INT(E378-(F378*360))/30)</f>
        <v>9</v>
      </c>
      <c r="H378" s="435">
        <f>E378-(F378*360)-(G378*30)</f>
        <v>11</v>
      </c>
      <c r="I378" s="440"/>
      <c r="J378" s="121"/>
      <c r="K378" s="121"/>
      <c r="L378" s="121"/>
      <c r="M378" s="121"/>
    </row>
    <row r="379" spans="3:13" s="29" customFormat="1" ht="15" customHeight="1">
      <c r="C379" s="153"/>
      <c r="D379" s="153"/>
      <c r="E379" s="174"/>
      <c r="F379" s="132"/>
      <c r="G379" s="175"/>
      <c r="H379" s="132"/>
      <c r="I379" s="440"/>
      <c r="J379" s="121"/>
      <c r="K379" s="121"/>
      <c r="L379" s="121"/>
      <c r="M379" s="121"/>
    </row>
    <row r="380" spans="1:13" s="29" customFormat="1" ht="15" customHeight="1">
      <c r="A380" s="152" t="s">
        <v>312</v>
      </c>
      <c r="C380" s="165"/>
      <c r="D380" s="165"/>
      <c r="E380" s="169" t="s">
        <v>151</v>
      </c>
      <c r="G380" s="170">
        <f>IF(F378&lt;3,0,IF(F378&lt;9,3,IF(F378&lt;15,9,IF(F378&lt;21,15,IF(F378&lt;28,21,IF(F378&lt;35,28,IF(F378&lt;40,35)))))))</f>
        <v>21</v>
      </c>
      <c r="H380" s="152" t="s">
        <v>152</v>
      </c>
      <c r="I380" s="450" t="str">
        <f>IF(G380&lt;3,"0-2",IF(G380&lt;9,"3-8",IF(G380&lt;15,"9-14",IF(G380&lt;21,"15-20",IF(G380&lt;28,"21-27",IF(G380&lt;35,"28-35"))))))</f>
        <v>21-27</v>
      </c>
      <c r="J380" s="121"/>
      <c r="K380" s="121"/>
      <c r="L380" s="121"/>
      <c r="M380" s="121"/>
    </row>
    <row r="381" spans="3:13" s="29" customFormat="1" ht="15" customHeight="1">
      <c r="C381" s="223"/>
      <c r="D381" s="224"/>
      <c r="F381" s="225"/>
      <c r="G381" s="225"/>
      <c r="H381" s="145"/>
      <c r="I381" s="437"/>
      <c r="J381" s="121"/>
      <c r="K381" s="121"/>
      <c r="L381" s="121"/>
      <c r="M381" s="121"/>
    </row>
    <row r="382" spans="1:13" s="29" customFormat="1" ht="15" customHeight="1">
      <c r="A382" s="205" t="s">
        <v>318</v>
      </c>
      <c r="B382" s="212"/>
      <c r="C382" s="203"/>
      <c r="D382" s="167"/>
      <c r="E382" s="203"/>
      <c r="I382" s="437"/>
      <c r="J382" s="121"/>
      <c r="K382" s="121"/>
      <c r="L382" s="121"/>
      <c r="M382" s="121"/>
    </row>
    <row r="383" spans="1:13" s="29" customFormat="1" ht="15" customHeight="1">
      <c r="A383" s="194" t="s">
        <v>164</v>
      </c>
      <c r="B383" s="194" t="s">
        <v>310</v>
      </c>
      <c r="C383" s="400"/>
      <c r="E383" s="432">
        <f>E368</f>
        <v>29517.34</v>
      </c>
      <c r="I383" s="437"/>
      <c r="J383" s="121"/>
      <c r="K383" s="121"/>
      <c r="L383" s="121"/>
      <c r="M383" s="121"/>
    </row>
    <row r="384" spans="1:13" s="29" customFormat="1" ht="15" customHeight="1">
      <c r="A384" s="194" t="s">
        <v>297</v>
      </c>
      <c r="C384" s="209"/>
      <c r="D384" s="208"/>
      <c r="E384" s="431">
        <f>IF(E369=0,0,IF(AND(E369&gt;0,A374&gt;0),0,647.79))</f>
        <v>0</v>
      </c>
      <c r="I384" s="437"/>
      <c r="J384" s="121"/>
      <c r="K384" s="121"/>
      <c r="L384" s="121"/>
      <c r="M384" s="121"/>
    </row>
    <row r="385" spans="1:13" s="29" customFormat="1" ht="15" customHeight="1" thickBot="1">
      <c r="A385" s="194" t="s">
        <v>317</v>
      </c>
      <c r="C385" s="209"/>
      <c r="D385" s="208"/>
      <c r="E385" s="469">
        <f>13.8*12</f>
        <v>165.60000000000002</v>
      </c>
      <c r="I385" s="437"/>
      <c r="J385" s="121"/>
      <c r="K385" s="121"/>
      <c r="L385" s="121"/>
      <c r="M385" s="121"/>
    </row>
    <row r="386" spans="1:13" s="29" customFormat="1" ht="15" customHeight="1" thickBot="1" thickTop="1">
      <c r="A386" s="194" t="s">
        <v>163</v>
      </c>
      <c r="B386" s="212"/>
      <c r="C386" s="213"/>
      <c r="D386" s="203"/>
      <c r="E386" s="432">
        <f>SUM(E383:E385)</f>
        <v>29682.94</v>
      </c>
      <c r="F386" s="197"/>
      <c r="G386" s="198"/>
      <c r="H386" s="458" t="s">
        <v>221</v>
      </c>
      <c r="I386" s="461">
        <f>E386/12</f>
        <v>2473.5783333333334</v>
      </c>
      <c r="J386" s="121"/>
      <c r="K386" s="121"/>
      <c r="L386" s="121"/>
      <c r="M386" s="121"/>
    </row>
    <row r="387" spans="10:13" s="29" customFormat="1" ht="15" customHeight="1">
      <c r="J387" s="121"/>
      <c r="K387" s="121"/>
      <c r="L387" s="121"/>
      <c r="M387" s="121"/>
    </row>
    <row r="388" spans="10:13" s="29" customFormat="1" ht="15" customHeight="1">
      <c r="J388" s="121"/>
      <c r="K388" s="121"/>
      <c r="L388" s="121"/>
      <c r="M388" s="121"/>
    </row>
    <row r="389" spans="10:13" s="29" customFormat="1" ht="15" customHeight="1">
      <c r="J389" s="121"/>
      <c r="K389" s="121"/>
      <c r="L389" s="121"/>
      <c r="M389" s="121"/>
    </row>
    <row r="390" spans="10:13" s="29" customFormat="1" ht="15" customHeight="1">
      <c r="J390" s="121"/>
      <c r="K390" s="121"/>
      <c r="L390" s="121"/>
      <c r="M390" s="121"/>
    </row>
    <row r="391" spans="10:13" s="29" customFormat="1" ht="15" customHeight="1">
      <c r="J391" s="121"/>
      <c r="K391" s="121"/>
      <c r="L391" s="121"/>
      <c r="M391" s="121"/>
    </row>
    <row r="392" spans="10:13" s="29" customFormat="1" ht="15" customHeight="1">
      <c r="J392" s="121"/>
      <c r="K392" s="121"/>
      <c r="L392" s="121"/>
      <c r="M392" s="121"/>
    </row>
    <row r="393" spans="10:13" s="29" customFormat="1" ht="15" customHeight="1">
      <c r="J393" s="121"/>
      <c r="K393" s="121"/>
      <c r="L393" s="121"/>
      <c r="M393" s="121"/>
    </row>
    <row r="394" spans="10:13" s="29" customFormat="1" ht="15" customHeight="1">
      <c r="J394" s="121"/>
      <c r="K394" s="121"/>
      <c r="L394" s="121"/>
      <c r="M394" s="121"/>
    </row>
    <row r="395" spans="10:13" s="29" customFormat="1" ht="15" customHeight="1">
      <c r="J395" s="121"/>
      <c r="K395" s="121"/>
      <c r="L395" s="121"/>
      <c r="M395" s="121"/>
    </row>
    <row r="396" spans="10:13" s="29" customFormat="1" ht="15" customHeight="1">
      <c r="J396" s="121"/>
      <c r="K396" s="121"/>
      <c r="L396" s="121"/>
      <c r="M396" s="121"/>
    </row>
    <row r="397" spans="10:13" s="29" customFormat="1" ht="15" customHeight="1">
      <c r="J397" s="121"/>
      <c r="K397" s="121"/>
      <c r="L397" s="121"/>
      <c r="M397" s="121"/>
    </row>
    <row r="398" spans="10:13" s="29" customFormat="1" ht="15" customHeight="1">
      <c r="J398" s="121"/>
      <c r="K398" s="121"/>
      <c r="L398" s="121"/>
      <c r="M398" s="121"/>
    </row>
    <row r="399" spans="10:13" s="29" customFormat="1" ht="15" customHeight="1">
      <c r="J399" s="121"/>
      <c r="K399" s="121"/>
      <c r="L399" s="121"/>
      <c r="M399" s="121"/>
    </row>
    <row r="400" spans="10:13" s="29" customFormat="1" ht="15" customHeight="1">
      <c r="J400" s="121"/>
      <c r="K400" s="121"/>
      <c r="L400" s="121"/>
      <c r="M400" s="121"/>
    </row>
    <row r="401" spans="10:13" s="29" customFormat="1" ht="15" customHeight="1">
      <c r="J401" s="121"/>
      <c r="K401" s="121"/>
      <c r="L401" s="121"/>
      <c r="M401" s="121"/>
    </row>
    <row r="402" spans="10:13" s="29" customFormat="1" ht="15" customHeight="1">
      <c r="J402" s="121"/>
      <c r="K402" s="121"/>
      <c r="L402" s="121"/>
      <c r="M402" s="121"/>
    </row>
    <row r="403" spans="10:13" s="29" customFormat="1" ht="15" customHeight="1">
      <c r="J403" s="121"/>
      <c r="K403" s="121"/>
      <c r="L403" s="121"/>
      <c r="M403" s="121"/>
    </row>
    <row r="404" spans="10:13" s="29" customFormat="1" ht="15" customHeight="1">
      <c r="J404" s="121"/>
      <c r="K404" s="121"/>
      <c r="L404" s="121"/>
      <c r="M404" s="121"/>
    </row>
    <row r="405" spans="10:13" s="29" customFormat="1" ht="15" customHeight="1">
      <c r="J405" s="121"/>
      <c r="K405" s="121"/>
      <c r="L405" s="121"/>
      <c r="M405" s="121"/>
    </row>
    <row r="406" spans="10:13" s="29" customFormat="1" ht="15" customHeight="1">
      <c r="J406" s="121"/>
      <c r="K406" s="121"/>
      <c r="L406" s="121"/>
      <c r="M406" s="121"/>
    </row>
    <row r="407" spans="10:13" s="29" customFormat="1" ht="15" customHeight="1">
      <c r="J407" s="121"/>
      <c r="K407" s="121"/>
      <c r="L407" s="121"/>
      <c r="M407" s="121"/>
    </row>
    <row r="408" spans="10:13" s="29" customFormat="1" ht="15" customHeight="1">
      <c r="J408" s="121"/>
      <c r="K408" s="121"/>
      <c r="L408" s="121"/>
      <c r="M408" s="121"/>
    </row>
    <row r="409" spans="10:13" s="29" customFormat="1" ht="15" customHeight="1">
      <c r="J409" s="121"/>
      <c r="K409" s="121"/>
      <c r="L409" s="121"/>
      <c r="M409" s="121"/>
    </row>
    <row r="410" spans="10:13" s="29" customFormat="1" ht="15" customHeight="1">
      <c r="J410" s="121"/>
      <c r="K410" s="121"/>
      <c r="L410" s="121"/>
      <c r="M410" s="121"/>
    </row>
    <row r="411" spans="10:13" s="29" customFormat="1" ht="15" customHeight="1">
      <c r="J411" s="121"/>
      <c r="K411" s="121"/>
      <c r="L411" s="121"/>
      <c r="M411" s="121"/>
    </row>
    <row r="412" spans="10:13" s="29" customFormat="1" ht="15" customHeight="1">
      <c r="J412" s="121"/>
      <c r="K412" s="121"/>
      <c r="L412" s="121"/>
      <c r="M412" s="121"/>
    </row>
    <row r="413" spans="10:13" s="29" customFormat="1" ht="15" customHeight="1">
      <c r="J413" s="121"/>
      <c r="K413" s="121"/>
      <c r="L413" s="121"/>
      <c r="M413" s="121"/>
    </row>
    <row r="414" spans="10:13" s="29" customFormat="1" ht="15" customHeight="1">
      <c r="J414" s="121"/>
      <c r="K414" s="121"/>
      <c r="L414" s="121"/>
      <c r="M414" s="121"/>
    </row>
    <row r="415" spans="10:13" s="29" customFormat="1" ht="15" customHeight="1">
      <c r="J415" s="121"/>
      <c r="K415" s="121"/>
      <c r="L415" s="121"/>
      <c r="M415" s="121"/>
    </row>
    <row r="416" spans="10:13" s="29" customFormat="1" ht="15" customHeight="1">
      <c r="J416" s="121"/>
      <c r="K416" s="121"/>
      <c r="L416" s="121"/>
      <c r="M416" s="121"/>
    </row>
    <row r="417" spans="10:13" s="29" customFormat="1" ht="15" customHeight="1">
      <c r="J417" s="121"/>
      <c r="K417" s="121"/>
      <c r="L417" s="121"/>
      <c r="M417" s="121"/>
    </row>
    <row r="418" spans="10:13" s="29" customFormat="1" ht="15" customHeight="1">
      <c r="J418" s="121"/>
      <c r="K418" s="121"/>
      <c r="L418" s="121"/>
      <c r="M418" s="121"/>
    </row>
    <row r="419" spans="10:13" s="29" customFormat="1" ht="15" customHeight="1">
      <c r="J419" s="121"/>
      <c r="K419" s="121"/>
      <c r="L419" s="121"/>
      <c r="M419" s="121"/>
    </row>
    <row r="420" spans="10:13" s="29" customFormat="1" ht="15" customHeight="1">
      <c r="J420" s="121"/>
      <c r="K420" s="121"/>
      <c r="L420" s="121"/>
      <c r="M420" s="121"/>
    </row>
    <row r="421" spans="10:13" s="29" customFormat="1" ht="15" customHeight="1">
      <c r="J421" s="121"/>
      <c r="K421" s="121"/>
      <c r="L421" s="121"/>
      <c r="M421" s="121"/>
    </row>
    <row r="422" spans="10:13" s="29" customFormat="1" ht="15" customHeight="1">
      <c r="J422" s="121"/>
      <c r="K422" s="121"/>
      <c r="L422" s="121"/>
      <c r="M422" s="121"/>
    </row>
    <row r="423" spans="10:13" s="29" customFormat="1" ht="15" customHeight="1">
      <c r="J423" s="121"/>
      <c r="K423" s="121"/>
      <c r="L423" s="121"/>
      <c r="M423" s="121"/>
    </row>
    <row r="424" spans="10:13" s="29" customFormat="1" ht="15" customHeight="1">
      <c r="J424" s="121"/>
      <c r="K424" s="121"/>
      <c r="L424" s="121"/>
      <c r="M424" s="121"/>
    </row>
    <row r="425" spans="10:13" s="29" customFormat="1" ht="15" customHeight="1">
      <c r="J425" s="121"/>
      <c r="K425" s="121"/>
      <c r="L425" s="121"/>
      <c r="M425" s="121"/>
    </row>
    <row r="426" spans="10:13" s="29" customFormat="1" ht="15" customHeight="1">
      <c r="J426" s="121"/>
      <c r="K426" s="121"/>
      <c r="L426" s="121"/>
      <c r="M426" s="121"/>
    </row>
    <row r="427" spans="10:13" s="29" customFormat="1" ht="15" customHeight="1">
      <c r="J427" s="121"/>
      <c r="K427" s="121"/>
      <c r="L427" s="121"/>
      <c r="M427" s="121"/>
    </row>
    <row r="428" spans="10:13" s="29" customFormat="1" ht="15" customHeight="1">
      <c r="J428" s="121"/>
      <c r="K428" s="121"/>
      <c r="L428" s="121"/>
      <c r="M428" s="121"/>
    </row>
    <row r="429" spans="10:13" s="29" customFormat="1" ht="15" customHeight="1">
      <c r="J429" s="121"/>
      <c r="K429" s="121"/>
      <c r="L429" s="121"/>
      <c r="M429" s="121"/>
    </row>
    <row r="430" spans="10:13" s="29" customFormat="1" ht="15" customHeight="1">
      <c r="J430" s="121"/>
      <c r="K430" s="121"/>
      <c r="L430" s="121"/>
      <c r="M430" s="121"/>
    </row>
    <row r="431" spans="10:13" s="29" customFormat="1" ht="15" customHeight="1">
      <c r="J431" s="121"/>
      <c r="K431" s="121"/>
      <c r="L431" s="121"/>
      <c r="M431" s="121"/>
    </row>
    <row r="432" spans="10:13" s="29" customFormat="1" ht="15" customHeight="1">
      <c r="J432" s="121"/>
      <c r="K432" s="121"/>
      <c r="L432" s="121"/>
      <c r="M432" s="121"/>
    </row>
    <row r="433" spans="10:13" s="29" customFormat="1" ht="15" customHeight="1">
      <c r="J433" s="121"/>
      <c r="K433" s="121"/>
      <c r="L433" s="121"/>
      <c r="M433" s="121"/>
    </row>
    <row r="434" spans="10:13" s="29" customFormat="1" ht="15" customHeight="1">
      <c r="J434" s="121"/>
      <c r="K434" s="121"/>
      <c r="L434" s="121"/>
      <c r="M434" s="121"/>
    </row>
    <row r="435" spans="10:13" s="29" customFormat="1" ht="15" customHeight="1">
      <c r="J435" s="121"/>
      <c r="K435" s="121"/>
      <c r="L435" s="121"/>
      <c r="M435" s="121"/>
    </row>
    <row r="436" spans="10:13" s="29" customFormat="1" ht="15" customHeight="1">
      <c r="J436" s="121"/>
      <c r="K436" s="121"/>
      <c r="L436" s="121"/>
      <c r="M436" s="121"/>
    </row>
    <row r="437" spans="10:13" s="29" customFormat="1" ht="15" customHeight="1">
      <c r="J437" s="121"/>
      <c r="K437" s="121"/>
      <c r="L437" s="121"/>
      <c r="M437" s="121"/>
    </row>
    <row r="438" spans="10:13" s="29" customFormat="1" ht="15" customHeight="1">
      <c r="J438" s="121"/>
      <c r="K438" s="121"/>
      <c r="L438" s="121"/>
      <c r="M438" s="121"/>
    </row>
    <row r="439" spans="10:13" s="29" customFormat="1" ht="15" customHeight="1">
      <c r="J439" s="121"/>
      <c r="K439" s="121"/>
      <c r="L439" s="121"/>
      <c r="M439" s="121"/>
    </row>
    <row r="440" spans="10:13" s="29" customFormat="1" ht="15" customHeight="1">
      <c r="J440" s="121"/>
      <c r="K440" s="121"/>
      <c r="L440" s="121"/>
      <c r="M440" s="121"/>
    </row>
    <row r="441" spans="10:13" s="29" customFormat="1" ht="15" customHeight="1">
      <c r="J441" s="121"/>
      <c r="K441" s="121"/>
      <c r="L441" s="121"/>
      <c r="M441" s="121"/>
    </row>
    <row r="442" spans="10:13" s="29" customFormat="1" ht="15" customHeight="1">
      <c r="J442" s="121"/>
      <c r="K442" s="121"/>
      <c r="L442" s="121"/>
      <c r="M442" s="121"/>
    </row>
    <row r="443" spans="10:13" s="29" customFormat="1" ht="15" customHeight="1">
      <c r="J443" s="121"/>
      <c r="K443" s="121"/>
      <c r="L443" s="121"/>
      <c r="M443" s="121"/>
    </row>
    <row r="444" spans="10:13" s="29" customFormat="1" ht="15" customHeight="1">
      <c r="J444" s="121"/>
      <c r="K444" s="121"/>
      <c r="L444" s="121"/>
      <c r="M444" s="121"/>
    </row>
    <row r="445" spans="10:13" s="29" customFormat="1" ht="15" customHeight="1">
      <c r="J445" s="121"/>
      <c r="K445" s="121"/>
      <c r="L445" s="121"/>
      <c r="M445" s="121"/>
    </row>
    <row r="446" spans="10:13" s="29" customFormat="1" ht="15" customHeight="1">
      <c r="J446" s="121"/>
      <c r="K446" s="121"/>
      <c r="L446" s="121"/>
      <c r="M446" s="121"/>
    </row>
    <row r="447" spans="10:13" s="29" customFormat="1" ht="15" customHeight="1">
      <c r="J447" s="121"/>
      <c r="K447" s="121"/>
      <c r="L447" s="121"/>
      <c r="M447" s="121"/>
    </row>
    <row r="448" spans="10:13" s="29" customFormat="1" ht="15" customHeight="1">
      <c r="J448" s="121"/>
      <c r="K448" s="121"/>
      <c r="L448" s="121"/>
      <c r="M448" s="121"/>
    </row>
    <row r="449" spans="10:13" s="29" customFormat="1" ht="15" customHeight="1">
      <c r="J449" s="121"/>
      <c r="K449" s="121"/>
      <c r="L449" s="121"/>
      <c r="M449" s="121"/>
    </row>
    <row r="450" spans="10:13" s="29" customFormat="1" ht="15" customHeight="1">
      <c r="J450" s="121"/>
      <c r="K450" s="121"/>
      <c r="L450" s="121"/>
      <c r="M450" s="121"/>
    </row>
    <row r="451" spans="10:13" s="29" customFormat="1" ht="15" customHeight="1">
      <c r="J451" s="121"/>
      <c r="K451" s="121"/>
      <c r="L451" s="121"/>
      <c r="M451" s="121"/>
    </row>
    <row r="452" spans="10:13" s="29" customFormat="1" ht="15" customHeight="1">
      <c r="J452" s="121"/>
      <c r="K452" s="121"/>
      <c r="L452" s="121"/>
      <c r="M452" s="121"/>
    </row>
    <row r="453" spans="10:13" s="29" customFormat="1" ht="15" customHeight="1">
      <c r="J453" s="121"/>
      <c r="K453" s="121"/>
      <c r="L453" s="121"/>
      <c r="M453" s="121"/>
    </row>
    <row r="454" spans="10:13" s="29" customFormat="1" ht="15" customHeight="1">
      <c r="J454" s="121"/>
      <c r="K454" s="121"/>
      <c r="L454" s="121"/>
      <c r="M454" s="121"/>
    </row>
    <row r="455" spans="10:13" s="29" customFormat="1" ht="15" customHeight="1">
      <c r="J455" s="121"/>
      <c r="K455" s="121"/>
      <c r="L455" s="121"/>
      <c r="M455" s="121"/>
    </row>
    <row r="456" spans="10:13" s="29" customFormat="1" ht="15" customHeight="1">
      <c r="J456" s="121"/>
      <c r="K456" s="121"/>
      <c r="L456" s="121"/>
      <c r="M456" s="121"/>
    </row>
    <row r="457" spans="10:13" s="29" customFormat="1" ht="15" customHeight="1">
      <c r="J457" s="121"/>
      <c r="K457" s="121"/>
      <c r="L457" s="121"/>
      <c r="M457" s="121"/>
    </row>
    <row r="458" spans="10:13" s="29" customFormat="1" ht="15" customHeight="1">
      <c r="J458" s="121"/>
      <c r="K458" s="121"/>
      <c r="L458" s="121"/>
      <c r="M458" s="121"/>
    </row>
    <row r="459" spans="10:13" s="29" customFormat="1" ht="15" customHeight="1">
      <c r="J459" s="121"/>
      <c r="K459" s="121"/>
      <c r="L459" s="121"/>
      <c r="M459" s="121"/>
    </row>
    <row r="460" spans="10:13" s="29" customFormat="1" ht="15" customHeight="1">
      <c r="J460" s="121"/>
      <c r="K460" s="121"/>
      <c r="L460" s="121"/>
      <c r="M460" s="121"/>
    </row>
    <row r="461" spans="10:13" s="29" customFormat="1" ht="15" customHeight="1">
      <c r="J461" s="121"/>
      <c r="K461" s="121"/>
      <c r="L461" s="121"/>
      <c r="M461" s="121"/>
    </row>
    <row r="462" spans="10:13" s="29" customFormat="1" ht="15" customHeight="1">
      <c r="J462" s="121"/>
      <c r="K462" s="121"/>
      <c r="L462" s="121"/>
      <c r="M462" s="121"/>
    </row>
    <row r="463" spans="10:13" s="29" customFormat="1" ht="15" customHeight="1">
      <c r="J463" s="121"/>
      <c r="K463" s="121"/>
      <c r="L463" s="121"/>
      <c r="M463" s="121"/>
    </row>
    <row r="464" spans="10:13" s="29" customFormat="1" ht="15" customHeight="1">
      <c r="J464" s="121"/>
      <c r="K464" s="121"/>
      <c r="L464" s="121"/>
      <c r="M464" s="121"/>
    </row>
    <row r="465" spans="10:13" s="29" customFormat="1" ht="15" customHeight="1">
      <c r="J465" s="121"/>
      <c r="K465" s="121"/>
      <c r="L465" s="121"/>
      <c r="M465" s="121"/>
    </row>
    <row r="466" spans="10:13" s="29" customFormat="1" ht="15" customHeight="1">
      <c r="J466" s="121"/>
      <c r="K466" s="121"/>
      <c r="L466" s="121"/>
      <c r="M466" s="121"/>
    </row>
    <row r="467" spans="10:13" s="29" customFormat="1" ht="15" customHeight="1">
      <c r="J467" s="121"/>
      <c r="K467" s="121"/>
      <c r="L467" s="121"/>
      <c r="M467" s="121"/>
    </row>
    <row r="468" spans="10:13" s="29" customFormat="1" ht="15" customHeight="1">
      <c r="J468" s="121"/>
      <c r="K468" s="121"/>
      <c r="L468" s="121"/>
      <c r="M468" s="121"/>
    </row>
    <row r="469" spans="10:13" s="29" customFormat="1" ht="15" customHeight="1">
      <c r="J469" s="121"/>
      <c r="K469" s="121"/>
      <c r="L469" s="121"/>
      <c r="M469" s="121"/>
    </row>
    <row r="470" spans="10:13" s="29" customFormat="1" ht="15" customHeight="1">
      <c r="J470" s="121"/>
      <c r="K470" s="121"/>
      <c r="L470" s="121"/>
      <c r="M470" s="121"/>
    </row>
    <row r="471" spans="10:13" s="29" customFormat="1" ht="15" customHeight="1">
      <c r="J471" s="121"/>
      <c r="K471" s="121"/>
      <c r="L471" s="121"/>
      <c r="M471" s="121"/>
    </row>
    <row r="472" spans="10:13" s="29" customFormat="1" ht="15" customHeight="1">
      <c r="J472" s="121"/>
      <c r="K472" s="121"/>
      <c r="L472" s="121"/>
      <c r="M472" s="121"/>
    </row>
    <row r="473" spans="10:13" s="29" customFormat="1" ht="15" customHeight="1">
      <c r="J473" s="121"/>
      <c r="K473" s="121"/>
      <c r="L473" s="121"/>
      <c r="M473" s="121"/>
    </row>
    <row r="474" spans="10:13" s="29" customFormat="1" ht="15" customHeight="1">
      <c r="J474" s="121"/>
      <c r="K474" s="121"/>
      <c r="L474" s="121"/>
      <c r="M474" s="121"/>
    </row>
    <row r="475" spans="10:13" s="29" customFormat="1" ht="15" customHeight="1">
      <c r="J475" s="121"/>
      <c r="K475" s="121"/>
      <c r="L475" s="121"/>
      <c r="M475" s="121"/>
    </row>
    <row r="476" spans="10:13" s="29" customFormat="1" ht="15" customHeight="1">
      <c r="J476" s="121"/>
      <c r="K476" s="121"/>
      <c r="L476" s="121"/>
      <c r="M476" s="121"/>
    </row>
    <row r="477" spans="10:13" s="29" customFormat="1" ht="15" customHeight="1">
      <c r="J477" s="121"/>
      <c r="K477" s="121"/>
      <c r="L477" s="121"/>
      <c r="M477" s="121"/>
    </row>
    <row r="478" spans="10:13" s="29" customFormat="1" ht="15" customHeight="1">
      <c r="J478" s="121"/>
      <c r="K478" s="121"/>
      <c r="L478" s="121"/>
      <c r="M478" s="121"/>
    </row>
    <row r="479" spans="10:13" s="29" customFormat="1" ht="15" customHeight="1">
      <c r="J479" s="121"/>
      <c r="K479" s="121"/>
      <c r="L479" s="121"/>
      <c r="M479" s="121"/>
    </row>
    <row r="480" spans="10:13" s="29" customFormat="1" ht="15" customHeight="1">
      <c r="J480" s="121"/>
      <c r="K480" s="121"/>
      <c r="L480" s="121"/>
      <c r="M480" s="121"/>
    </row>
    <row r="481" spans="10:13" s="29" customFormat="1" ht="15" customHeight="1">
      <c r="J481" s="121"/>
      <c r="K481" s="121"/>
      <c r="L481" s="121"/>
      <c r="M481" s="121"/>
    </row>
    <row r="482" spans="10:13" s="29" customFormat="1" ht="15" customHeight="1">
      <c r="J482" s="121"/>
      <c r="K482" s="121"/>
      <c r="L482" s="121"/>
      <c r="M482" s="121"/>
    </row>
    <row r="483" spans="10:13" s="29" customFormat="1" ht="15" customHeight="1">
      <c r="J483" s="121"/>
      <c r="K483" s="121"/>
      <c r="L483" s="121"/>
      <c r="M483" s="121"/>
    </row>
    <row r="484" spans="10:13" s="29" customFormat="1" ht="15" customHeight="1">
      <c r="J484" s="121"/>
      <c r="K484" s="121"/>
      <c r="L484" s="121"/>
      <c r="M484" s="121"/>
    </row>
    <row r="485" spans="10:13" s="29" customFormat="1" ht="15" customHeight="1">
      <c r="J485" s="121"/>
      <c r="K485" s="121"/>
      <c r="L485" s="121"/>
      <c r="M485" s="121"/>
    </row>
    <row r="486" spans="10:13" s="29" customFormat="1" ht="15" customHeight="1">
      <c r="J486" s="121"/>
      <c r="K486" s="121"/>
      <c r="L486" s="121"/>
      <c r="M486" s="121"/>
    </row>
    <row r="487" spans="10:13" s="29" customFormat="1" ht="15" customHeight="1">
      <c r="J487" s="121"/>
      <c r="K487" s="121"/>
      <c r="L487" s="121"/>
      <c r="M487" s="121"/>
    </row>
    <row r="488" spans="10:13" s="29" customFormat="1" ht="15" customHeight="1">
      <c r="J488" s="121"/>
      <c r="K488" s="121"/>
      <c r="L488" s="121"/>
      <c r="M488" s="121"/>
    </row>
    <row r="489" spans="10:13" s="29" customFormat="1" ht="15" customHeight="1">
      <c r="J489" s="121"/>
      <c r="K489" s="121"/>
      <c r="L489" s="121"/>
      <c r="M489" s="121"/>
    </row>
    <row r="490" spans="10:13" s="29" customFormat="1" ht="15" customHeight="1">
      <c r="J490" s="121"/>
      <c r="K490" s="121"/>
      <c r="L490" s="121"/>
      <c r="M490" s="121"/>
    </row>
    <row r="491" spans="10:13" s="29" customFormat="1" ht="15" customHeight="1">
      <c r="J491" s="121"/>
      <c r="K491" s="121"/>
      <c r="L491" s="121"/>
      <c r="M491" s="121"/>
    </row>
    <row r="492" spans="10:13" s="29" customFormat="1" ht="15" customHeight="1">
      <c r="J492" s="121"/>
      <c r="K492" s="121"/>
      <c r="L492" s="121"/>
      <c r="M492" s="121"/>
    </row>
    <row r="493" spans="10:13" s="29" customFormat="1" ht="15" customHeight="1">
      <c r="J493" s="121"/>
      <c r="K493" s="121"/>
      <c r="L493" s="121"/>
      <c r="M493" s="121"/>
    </row>
    <row r="494" spans="10:13" s="29" customFormat="1" ht="15" customHeight="1">
      <c r="J494" s="121"/>
      <c r="K494" s="121"/>
      <c r="L494" s="121"/>
      <c r="M494" s="121"/>
    </row>
    <row r="495" spans="10:13" s="29" customFormat="1" ht="15" customHeight="1">
      <c r="J495" s="121"/>
      <c r="K495" s="121"/>
      <c r="L495" s="121"/>
      <c r="M495" s="121"/>
    </row>
    <row r="496" spans="10:13" s="29" customFormat="1" ht="15" customHeight="1">
      <c r="J496" s="121"/>
      <c r="K496" s="121"/>
      <c r="L496" s="121"/>
      <c r="M496" s="121"/>
    </row>
    <row r="497" spans="10:13" s="29" customFormat="1" ht="15" customHeight="1">
      <c r="J497" s="121"/>
      <c r="K497" s="121"/>
      <c r="L497" s="121"/>
      <c r="M497" s="121"/>
    </row>
    <row r="498" spans="10:13" s="29" customFormat="1" ht="15" customHeight="1">
      <c r="J498" s="121"/>
      <c r="K498" s="121"/>
      <c r="L498" s="121"/>
      <c r="M498" s="121"/>
    </row>
    <row r="499" spans="10:13" s="29" customFormat="1" ht="15" customHeight="1">
      <c r="J499" s="121"/>
      <c r="K499" s="121"/>
      <c r="L499" s="121"/>
      <c r="M499" s="121"/>
    </row>
    <row r="500" spans="10:13" s="29" customFormat="1" ht="15" customHeight="1">
      <c r="J500" s="121"/>
      <c r="K500" s="121"/>
      <c r="L500" s="121"/>
      <c r="M500" s="121"/>
    </row>
    <row r="501" spans="10:13" s="29" customFormat="1" ht="15" customHeight="1">
      <c r="J501" s="121"/>
      <c r="K501" s="121"/>
      <c r="L501" s="121"/>
      <c r="M501" s="121"/>
    </row>
    <row r="502" spans="10:13" s="29" customFormat="1" ht="15" customHeight="1">
      <c r="J502" s="121"/>
      <c r="K502" s="121"/>
      <c r="L502" s="121"/>
      <c r="M502" s="121"/>
    </row>
    <row r="503" spans="10:13" s="29" customFormat="1" ht="15" customHeight="1">
      <c r="J503" s="121"/>
      <c r="K503" s="121"/>
      <c r="L503" s="121"/>
      <c r="M503" s="121"/>
    </row>
    <row r="504" spans="10:13" s="29" customFormat="1" ht="15" customHeight="1">
      <c r="J504" s="121"/>
      <c r="K504" s="121"/>
      <c r="L504" s="121"/>
      <c r="M504" s="121"/>
    </row>
    <row r="505" spans="10:13" s="29" customFormat="1" ht="15" customHeight="1">
      <c r="J505" s="121"/>
      <c r="K505" s="121"/>
      <c r="L505" s="121"/>
      <c r="M505" s="121"/>
    </row>
    <row r="506" spans="10:13" s="29" customFormat="1" ht="15" customHeight="1">
      <c r="J506" s="121"/>
      <c r="K506" s="121"/>
      <c r="L506" s="121"/>
      <c r="M506" s="121"/>
    </row>
    <row r="507" spans="10:13" s="29" customFormat="1" ht="15" customHeight="1">
      <c r="J507" s="121"/>
      <c r="K507" s="121"/>
      <c r="L507" s="121"/>
      <c r="M507" s="121"/>
    </row>
    <row r="508" spans="10:13" s="29" customFormat="1" ht="15" customHeight="1">
      <c r="J508" s="121"/>
      <c r="K508" s="121"/>
      <c r="L508" s="121"/>
      <c r="M508" s="121"/>
    </row>
    <row r="509" spans="10:13" s="29" customFormat="1" ht="15" customHeight="1">
      <c r="J509" s="121"/>
      <c r="K509" s="121"/>
      <c r="L509" s="121"/>
      <c r="M509" s="121"/>
    </row>
    <row r="510" spans="10:13" s="29" customFormat="1" ht="15" customHeight="1">
      <c r="J510" s="121"/>
      <c r="K510" s="121"/>
      <c r="L510" s="121"/>
      <c r="M510" s="121"/>
    </row>
    <row r="511" spans="10:13" s="29" customFormat="1" ht="15" customHeight="1">
      <c r="J511" s="121"/>
      <c r="K511" s="121"/>
      <c r="L511" s="121"/>
      <c r="M511" s="121"/>
    </row>
    <row r="512" spans="10:13" s="29" customFormat="1" ht="15" customHeight="1">
      <c r="J512" s="121"/>
      <c r="K512" s="121"/>
      <c r="L512" s="121"/>
      <c r="M512" s="121"/>
    </row>
    <row r="513" spans="10:13" s="29" customFormat="1" ht="15" customHeight="1">
      <c r="J513" s="121"/>
      <c r="K513" s="121"/>
      <c r="L513" s="121"/>
      <c r="M513" s="121"/>
    </row>
    <row r="514" spans="10:13" s="29" customFormat="1" ht="15" customHeight="1">
      <c r="J514" s="121"/>
      <c r="K514" s="121"/>
      <c r="L514" s="121"/>
      <c r="M514" s="121"/>
    </row>
    <row r="515" spans="10:13" s="29" customFormat="1" ht="15" customHeight="1">
      <c r="J515" s="121"/>
      <c r="K515" s="121"/>
      <c r="L515" s="121"/>
      <c r="M515" s="121"/>
    </row>
    <row r="516" spans="10:13" s="29" customFormat="1" ht="15" customHeight="1">
      <c r="J516" s="121"/>
      <c r="K516" s="121"/>
      <c r="L516" s="121"/>
      <c r="M516" s="121"/>
    </row>
    <row r="517" spans="10:13" s="29" customFormat="1" ht="15" customHeight="1">
      <c r="J517" s="121"/>
      <c r="K517" s="121"/>
      <c r="L517" s="121"/>
      <c r="M517" s="121"/>
    </row>
    <row r="518" spans="10:13" s="29" customFormat="1" ht="15" customHeight="1">
      <c r="J518" s="121"/>
      <c r="K518" s="121"/>
      <c r="L518" s="121"/>
      <c r="M518" s="121"/>
    </row>
    <row r="519" spans="10:13" s="29" customFormat="1" ht="15" customHeight="1">
      <c r="J519" s="121"/>
      <c r="K519" s="121"/>
      <c r="L519" s="121"/>
      <c r="M519" s="121"/>
    </row>
    <row r="520" spans="10:13" s="29" customFormat="1" ht="15" customHeight="1">
      <c r="J520" s="121"/>
      <c r="K520" s="121"/>
      <c r="L520" s="121"/>
      <c r="M520" s="121"/>
    </row>
    <row r="521" spans="10:13" s="29" customFormat="1" ht="15" customHeight="1">
      <c r="J521" s="121"/>
      <c r="K521" s="121"/>
      <c r="L521" s="121"/>
      <c r="M521" s="121"/>
    </row>
    <row r="522" spans="10:13" s="29" customFormat="1" ht="15" customHeight="1">
      <c r="J522" s="121"/>
      <c r="K522" s="121"/>
      <c r="L522" s="121"/>
      <c r="M522" s="121"/>
    </row>
    <row r="523" spans="10:13" s="29" customFormat="1" ht="15" customHeight="1">
      <c r="J523" s="121"/>
      <c r="K523" s="121"/>
      <c r="L523" s="121"/>
      <c r="M523" s="121"/>
    </row>
    <row r="524" spans="10:13" s="29" customFormat="1" ht="15" customHeight="1">
      <c r="J524" s="121"/>
      <c r="K524" s="121"/>
      <c r="L524" s="121"/>
      <c r="M524" s="121"/>
    </row>
    <row r="525" spans="10:13" s="29" customFormat="1" ht="15" customHeight="1">
      <c r="J525" s="121"/>
      <c r="K525" s="121"/>
      <c r="L525" s="121"/>
      <c r="M525" s="121"/>
    </row>
    <row r="526" spans="10:13" s="29" customFormat="1" ht="15" customHeight="1">
      <c r="J526" s="121"/>
      <c r="K526" s="121"/>
      <c r="L526" s="121"/>
      <c r="M526" s="121"/>
    </row>
    <row r="527" spans="10:13" s="29" customFormat="1" ht="15" customHeight="1">
      <c r="J527" s="121"/>
      <c r="K527" s="121"/>
      <c r="L527" s="121"/>
      <c r="M527" s="121"/>
    </row>
    <row r="528" spans="10:13" s="29" customFormat="1" ht="15" customHeight="1">
      <c r="J528" s="121"/>
      <c r="K528" s="121"/>
      <c r="L528" s="121"/>
      <c r="M528" s="121"/>
    </row>
    <row r="529" spans="10:13" s="29" customFormat="1" ht="15" customHeight="1">
      <c r="J529" s="121"/>
      <c r="K529" s="121"/>
      <c r="L529" s="121"/>
      <c r="M529" s="121"/>
    </row>
    <row r="530" spans="10:13" s="29" customFormat="1" ht="15" customHeight="1">
      <c r="J530" s="121"/>
      <c r="K530" s="121"/>
      <c r="L530" s="121"/>
      <c r="M530" s="121"/>
    </row>
    <row r="531" spans="10:13" s="29" customFormat="1" ht="15" customHeight="1">
      <c r="J531" s="121"/>
      <c r="K531" s="121"/>
      <c r="L531" s="121"/>
      <c r="M531" s="121"/>
    </row>
    <row r="532" spans="10:13" s="29" customFormat="1" ht="15" customHeight="1">
      <c r="J532" s="121"/>
      <c r="K532" s="121"/>
      <c r="L532" s="121"/>
      <c r="M532" s="121"/>
    </row>
    <row r="533" spans="10:13" s="29" customFormat="1" ht="15" customHeight="1">
      <c r="J533" s="121"/>
      <c r="K533" s="121"/>
      <c r="L533" s="121"/>
      <c r="M533" s="121"/>
    </row>
    <row r="534" spans="10:13" s="29" customFormat="1" ht="15" customHeight="1">
      <c r="J534" s="121"/>
      <c r="K534" s="121"/>
      <c r="L534" s="121"/>
      <c r="M534" s="121"/>
    </row>
    <row r="535" spans="10:13" s="29" customFormat="1" ht="15" customHeight="1">
      <c r="J535" s="121"/>
      <c r="K535" s="121"/>
      <c r="L535" s="121"/>
      <c r="M535" s="121"/>
    </row>
    <row r="536" spans="10:13" s="29" customFormat="1" ht="15" customHeight="1">
      <c r="J536" s="121"/>
      <c r="K536" s="121"/>
      <c r="L536" s="121"/>
      <c r="M536" s="121"/>
    </row>
    <row r="537" spans="10:13" s="29" customFormat="1" ht="15" customHeight="1">
      <c r="J537" s="121"/>
      <c r="K537" s="121"/>
      <c r="L537" s="121"/>
      <c r="M537" s="121"/>
    </row>
    <row r="538" spans="10:13" s="29" customFormat="1" ht="15" customHeight="1">
      <c r="J538" s="121"/>
      <c r="K538" s="121"/>
      <c r="L538" s="121"/>
      <c r="M538" s="121"/>
    </row>
    <row r="539" spans="10:13" s="29" customFormat="1" ht="15" customHeight="1">
      <c r="J539" s="121"/>
      <c r="K539" s="121"/>
      <c r="L539" s="121"/>
      <c r="M539" s="121"/>
    </row>
    <row r="540" spans="10:13" s="29" customFormat="1" ht="15" customHeight="1">
      <c r="J540" s="121"/>
      <c r="K540" s="121"/>
      <c r="L540" s="121"/>
      <c r="M540" s="121"/>
    </row>
    <row r="541" spans="10:13" s="29" customFormat="1" ht="15" customHeight="1">
      <c r="J541" s="121"/>
      <c r="K541" s="121"/>
      <c r="L541" s="121"/>
      <c r="M541" s="121"/>
    </row>
    <row r="542" spans="10:13" s="29" customFormat="1" ht="15" customHeight="1">
      <c r="J542" s="121"/>
      <c r="K542" s="121"/>
      <c r="L542" s="121"/>
      <c r="M542" s="121"/>
    </row>
    <row r="543" spans="10:13" s="29" customFormat="1" ht="15" customHeight="1">
      <c r="J543" s="121"/>
      <c r="K543" s="121"/>
      <c r="L543" s="121"/>
      <c r="M543" s="121"/>
    </row>
    <row r="544" spans="10:13" s="29" customFormat="1" ht="15" customHeight="1">
      <c r="J544" s="121"/>
      <c r="K544" s="121"/>
      <c r="L544" s="121"/>
      <c r="M544" s="121"/>
    </row>
    <row r="545" spans="10:13" s="29" customFormat="1" ht="15" customHeight="1">
      <c r="J545" s="121"/>
      <c r="K545" s="121"/>
      <c r="L545" s="121"/>
      <c r="M545" s="121"/>
    </row>
    <row r="546" spans="10:13" s="29" customFormat="1" ht="15" customHeight="1">
      <c r="J546" s="121"/>
      <c r="K546" s="121"/>
      <c r="L546" s="121"/>
      <c r="M546" s="121"/>
    </row>
    <row r="547" spans="10:13" s="29" customFormat="1" ht="15" customHeight="1">
      <c r="J547" s="121"/>
      <c r="K547" s="121"/>
      <c r="L547" s="121"/>
      <c r="M547" s="121"/>
    </row>
    <row r="548" spans="10:13" s="29" customFormat="1" ht="15" customHeight="1">
      <c r="J548" s="121"/>
      <c r="K548" s="121"/>
      <c r="L548" s="121"/>
      <c r="M548" s="121"/>
    </row>
    <row r="549" spans="10:13" s="29" customFormat="1" ht="15" customHeight="1">
      <c r="J549" s="121"/>
      <c r="K549" s="121"/>
      <c r="L549" s="121"/>
      <c r="M549" s="121"/>
    </row>
    <row r="550" spans="10:13" s="29" customFormat="1" ht="15" customHeight="1">
      <c r="J550" s="121"/>
      <c r="K550" s="121"/>
      <c r="L550" s="121"/>
      <c r="M550" s="121"/>
    </row>
    <row r="551" spans="10:13" s="29" customFormat="1" ht="15" customHeight="1">
      <c r="J551" s="121"/>
      <c r="K551" s="121"/>
      <c r="L551" s="121"/>
      <c r="M551" s="121"/>
    </row>
    <row r="552" spans="10:13" s="29" customFormat="1" ht="15" customHeight="1">
      <c r="J552" s="121"/>
      <c r="K552" s="121"/>
      <c r="L552" s="121"/>
      <c r="M552" s="121"/>
    </row>
    <row r="553" spans="10:13" s="29" customFormat="1" ht="15" customHeight="1">
      <c r="J553" s="121"/>
      <c r="K553" s="121"/>
      <c r="L553" s="121"/>
      <c r="M553" s="121"/>
    </row>
    <row r="554" spans="10:13" s="29" customFormat="1" ht="15" customHeight="1">
      <c r="J554" s="121"/>
      <c r="K554" s="121"/>
      <c r="L554" s="121"/>
      <c r="M554" s="121"/>
    </row>
    <row r="555" spans="10:13" s="29" customFormat="1" ht="15" customHeight="1">
      <c r="J555" s="121"/>
      <c r="K555" s="121"/>
      <c r="L555" s="121"/>
      <c r="M555" s="121"/>
    </row>
    <row r="556" spans="10:13" s="29" customFormat="1" ht="15" customHeight="1">
      <c r="J556" s="121"/>
      <c r="K556" s="121"/>
      <c r="L556" s="121"/>
      <c r="M556" s="121"/>
    </row>
    <row r="557" spans="10:13" s="29" customFormat="1" ht="15" customHeight="1">
      <c r="J557" s="121"/>
      <c r="K557" s="121"/>
      <c r="L557" s="121"/>
      <c r="M557" s="121"/>
    </row>
    <row r="558" spans="10:13" s="29" customFormat="1" ht="15" customHeight="1">
      <c r="J558" s="121"/>
      <c r="K558" s="121"/>
      <c r="L558" s="121"/>
      <c r="M558" s="121"/>
    </row>
    <row r="559" spans="10:13" s="29" customFormat="1" ht="15" customHeight="1">
      <c r="J559" s="121"/>
      <c r="K559" s="121"/>
      <c r="L559" s="121"/>
      <c r="M559" s="121"/>
    </row>
    <row r="560" spans="10:13" s="29" customFormat="1" ht="15" customHeight="1">
      <c r="J560" s="121"/>
      <c r="K560" s="121"/>
      <c r="L560" s="121"/>
      <c r="M560" s="121"/>
    </row>
    <row r="561" spans="10:13" s="29" customFormat="1" ht="15" customHeight="1">
      <c r="J561" s="121"/>
      <c r="K561" s="121"/>
      <c r="L561" s="121"/>
      <c r="M561" s="121"/>
    </row>
    <row r="562" spans="10:13" s="29" customFormat="1" ht="15" customHeight="1">
      <c r="J562" s="121"/>
      <c r="K562" s="121"/>
      <c r="L562" s="121"/>
      <c r="M562" s="121"/>
    </row>
    <row r="563" spans="10:13" s="29" customFormat="1" ht="15" customHeight="1">
      <c r="J563" s="121"/>
      <c r="K563" s="121"/>
      <c r="L563" s="121"/>
      <c r="M563" s="121"/>
    </row>
    <row r="564" spans="10:13" s="29" customFormat="1" ht="15" customHeight="1">
      <c r="J564" s="121"/>
      <c r="K564" s="121"/>
      <c r="L564" s="121"/>
      <c r="M564" s="121"/>
    </row>
    <row r="565" spans="10:13" s="29" customFormat="1" ht="15" customHeight="1">
      <c r="J565" s="121"/>
      <c r="K565" s="121"/>
      <c r="L565" s="121"/>
      <c r="M565" s="121"/>
    </row>
    <row r="566" spans="10:13" s="29" customFormat="1" ht="15" customHeight="1">
      <c r="J566" s="121"/>
      <c r="K566" s="121"/>
      <c r="L566" s="121"/>
      <c r="M566" s="121"/>
    </row>
    <row r="567" spans="10:13" s="29" customFormat="1" ht="15" customHeight="1">
      <c r="J567" s="121"/>
      <c r="K567" s="121"/>
      <c r="L567" s="121"/>
      <c r="M567" s="121"/>
    </row>
    <row r="568" spans="10:13" s="29" customFormat="1" ht="15" customHeight="1">
      <c r="J568" s="121"/>
      <c r="K568" s="121"/>
      <c r="L568" s="121"/>
      <c r="M568" s="121"/>
    </row>
    <row r="569" spans="10:13" s="29" customFormat="1" ht="15" customHeight="1">
      <c r="J569" s="121"/>
      <c r="K569" s="121"/>
      <c r="L569" s="121"/>
      <c r="M569" s="121"/>
    </row>
    <row r="570" spans="10:13" s="29" customFormat="1" ht="15" customHeight="1">
      <c r="J570" s="121"/>
      <c r="K570" s="121"/>
      <c r="L570" s="121"/>
      <c r="M570" s="121"/>
    </row>
    <row r="571" spans="10:13" s="29" customFormat="1" ht="15" customHeight="1">
      <c r="J571" s="121"/>
      <c r="K571" s="121"/>
      <c r="L571" s="121"/>
      <c r="M571" s="121"/>
    </row>
    <row r="572" spans="10:13" s="29" customFormat="1" ht="15" customHeight="1">
      <c r="J572" s="121"/>
      <c r="K572" s="121"/>
      <c r="L572" s="121"/>
      <c r="M572" s="121"/>
    </row>
    <row r="573" spans="10:13" s="29" customFormat="1" ht="15" customHeight="1">
      <c r="J573" s="121"/>
      <c r="K573" s="121"/>
      <c r="L573" s="121"/>
      <c r="M573" s="121"/>
    </row>
    <row r="574" spans="10:13" s="29" customFormat="1" ht="15" customHeight="1">
      <c r="J574" s="121"/>
      <c r="K574" s="121"/>
      <c r="L574" s="121"/>
      <c r="M574" s="121"/>
    </row>
    <row r="575" spans="10:13" s="29" customFormat="1" ht="15" customHeight="1">
      <c r="J575" s="121"/>
      <c r="K575" s="121"/>
      <c r="L575" s="121"/>
      <c r="M575" s="121"/>
    </row>
    <row r="576" spans="10:13" s="29" customFormat="1" ht="15" customHeight="1">
      <c r="J576" s="121"/>
      <c r="K576" s="121"/>
      <c r="L576" s="121"/>
      <c r="M576" s="121"/>
    </row>
    <row r="577" spans="10:13" s="29" customFormat="1" ht="15" customHeight="1">
      <c r="J577" s="121"/>
      <c r="K577" s="121"/>
      <c r="L577" s="121"/>
      <c r="M577" s="121"/>
    </row>
    <row r="578" spans="10:13" s="29" customFormat="1" ht="15" customHeight="1">
      <c r="J578" s="121"/>
      <c r="K578" s="121"/>
      <c r="L578" s="121"/>
      <c r="M578" s="121"/>
    </row>
    <row r="579" spans="10:13" s="29" customFormat="1" ht="15" customHeight="1">
      <c r="J579" s="121"/>
      <c r="K579" s="121"/>
      <c r="L579" s="121"/>
      <c r="M579" s="121"/>
    </row>
    <row r="580" spans="10:13" s="29" customFormat="1" ht="15" customHeight="1">
      <c r="J580" s="121"/>
      <c r="K580" s="121"/>
      <c r="L580" s="121"/>
      <c r="M580" s="121"/>
    </row>
    <row r="581" spans="10:13" s="29" customFormat="1" ht="15" customHeight="1">
      <c r="J581" s="121"/>
      <c r="K581" s="121"/>
      <c r="L581" s="121"/>
      <c r="M581" s="121"/>
    </row>
    <row r="582" spans="10:13" s="29" customFormat="1" ht="15" customHeight="1">
      <c r="J582" s="121"/>
      <c r="K582" s="121"/>
      <c r="L582" s="121"/>
      <c r="M582" s="121"/>
    </row>
    <row r="583" spans="10:13" s="29" customFormat="1" ht="15" customHeight="1">
      <c r="J583" s="121"/>
      <c r="K583" s="121"/>
      <c r="L583" s="121"/>
      <c r="M583" s="121"/>
    </row>
    <row r="584" spans="10:13" s="29" customFormat="1" ht="15" customHeight="1">
      <c r="J584" s="121"/>
      <c r="K584" s="121"/>
      <c r="L584" s="121"/>
      <c r="M584" s="121"/>
    </row>
    <row r="585" spans="10:13" s="29" customFormat="1" ht="15" customHeight="1">
      <c r="J585" s="121"/>
      <c r="K585" s="121"/>
      <c r="L585" s="121"/>
      <c r="M585" s="121"/>
    </row>
    <row r="586" spans="10:13" s="29" customFormat="1" ht="15" customHeight="1">
      <c r="J586" s="121"/>
      <c r="K586" s="121"/>
      <c r="L586" s="121"/>
      <c r="M586" s="121"/>
    </row>
    <row r="587" spans="10:13" s="29" customFormat="1" ht="15" customHeight="1">
      <c r="J587" s="121"/>
      <c r="K587" s="121"/>
      <c r="L587" s="121"/>
      <c r="M587" s="121"/>
    </row>
    <row r="588" spans="10:13" s="29" customFormat="1" ht="15" customHeight="1">
      <c r="J588" s="121"/>
      <c r="K588" s="121"/>
      <c r="L588" s="121"/>
      <c r="M588" s="121"/>
    </row>
    <row r="589" spans="10:13" s="29" customFormat="1" ht="15" customHeight="1">
      <c r="J589" s="121"/>
      <c r="K589" s="121"/>
      <c r="L589" s="121"/>
      <c r="M589" s="121"/>
    </row>
    <row r="590" spans="10:13" s="29" customFormat="1" ht="15" customHeight="1">
      <c r="J590" s="121"/>
      <c r="K590" s="121"/>
      <c r="L590" s="121"/>
      <c r="M590" s="121"/>
    </row>
    <row r="591" spans="10:13" s="29" customFormat="1" ht="15" customHeight="1">
      <c r="J591" s="121"/>
      <c r="K591" s="121"/>
      <c r="L591" s="121"/>
      <c r="M591" s="121"/>
    </row>
    <row r="592" spans="10:13" s="29" customFormat="1" ht="15" customHeight="1">
      <c r="J592" s="121"/>
      <c r="K592" s="121"/>
      <c r="L592" s="121"/>
      <c r="M592" s="121"/>
    </row>
    <row r="593" spans="10:13" s="29" customFormat="1" ht="15" customHeight="1">
      <c r="J593" s="121"/>
      <c r="K593" s="121"/>
      <c r="L593" s="121"/>
      <c r="M593" s="121"/>
    </row>
    <row r="594" spans="10:13" s="29" customFormat="1" ht="15" customHeight="1">
      <c r="J594" s="121"/>
      <c r="K594" s="121"/>
      <c r="L594" s="121"/>
      <c r="M594" s="121"/>
    </row>
    <row r="595" spans="10:13" s="29" customFormat="1" ht="15" customHeight="1">
      <c r="J595" s="121"/>
      <c r="K595" s="121"/>
      <c r="L595" s="121"/>
      <c r="M595" s="121"/>
    </row>
    <row r="596" spans="10:13" s="29" customFormat="1" ht="15" customHeight="1">
      <c r="J596" s="121"/>
      <c r="K596" s="121"/>
      <c r="L596" s="121"/>
      <c r="M596" s="121"/>
    </row>
    <row r="597" spans="10:13" s="29" customFormat="1" ht="15" customHeight="1">
      <c r="J597" s="121"/>
      <c r="K597" s="121"/>
      <c r="L597" s="121"/>
      <c r="M597" s="121"/>
    </row>
    <row r="598" spans="10:13" s="29" customFormat="1" ht="15" customHeight="1">
      <c r="J598" s="121"/>
      <c r="K598" s="121"/>
      <c r="L598" s="121"/>
      <c r="M598" s="121"/>
    </row>
    <row r="599" spans="10:13" s="29" customFormat="1" ht="15" customHeight="1">
      <c r="J599" s="121"/>
      <c r="K599" s="121"/>
      <c r="L599" s="121"/>
      <c r="M599" s="121"/>
    </row>
    <row r="600" spans="10:13" s="29" customFormat="1" ht="15" customHeight="1">
      <c r="J600" s="121"/>
      <c r="K600" s="121"/>
      <c r="L600" s="121"/>
      <c r="M600" s="121"/>
    </row>
    <row r="601" spans="10:13" s="29" customFormat="1" ht="15" customHeight="1">
      <c r="J601" s="121"/>
      <c r="K601" s="121"/>
      <c r="L601" s="121"/>
      <c r="M601" s="121"/>
    </row>
    <row r="602" spans="10:13" s="29" customFormat="1" ht="15" customHeight="1">
      <c r="J602" s="121"/>
      <c r="K602" s="121"/>
      <c r="L602" s="121"/>
      <c r="M602" s="121"/>
    </row>
    <row r="603" spans="10:13" s="29" customFormat="1" ht="15" customHeight="1">
      <c r="J603" s="121"/>
      <c r="K603" s="121"/>
      <c r="L603" s="121"/>
      <c r="M603" s="121"/>
    </row>
    <row r="604" spans="10:13" s="29" customFormat="1" ht="15" customHeight="1">
      <c r="J604" s="121"/>
      <c r="K604" s="121"/>
      <c r="L604" s="121"/>
      <c r="M604" s="121"/>
    </row>
    <row r="605" spans="10:13" s="29" customFormat="1" ht="15" customHeight="1">
      <c r="J605" s="121"/>
      <c r="K605" s="121"/>
      <c r="L605" s="121"/>
      <c r="M605" s="121"/>
    </row>
    <row r="606" spans="10:13" s="29" customFormat="1" ht="15" customHeight="1">
      <c r="J606" s="121"/>
      <c r="K606" s="121"/>
      <c r="L606" s="121"/>
      <c r="M606" s="121"/>
    </row>
    <row r="607" spans="10:13" s="29" customFormat="1" ht="15" customHeight="1">
      <c r="J607" s="121"/>
      <c r="K607" s="121"/>
      <c r="L607" s="121"/>
      <c r="M607" s="121"/>
    </row>
    <row r="608" spans="10:13" s="29" customFormat="1" ht="15" customHeight="1">
      <c r="J608" s="121"/>
      <c r="K608" s="121"/>
      <c r="L608" s="121"/>
      <c r="M608" s="121"/>
    </row>
    <row r="609" spans="10:13" s="29" customFormat="1" ht="15" customHeight="1">
      <c r="J609" s="121"/>
      <c r="K609" s="121"/>
      <c r="L609" s="121"/>
      <c r="M609" s="121"/>
    </row>
    <row r="610" spans="10:13" s="29" customFormat="1" ht="15" customHeight="1">
      <c r="J610" s="121"/>
      <c r="K610" s="121"/>
      <c r="L610" s="121"/>
      <c r="M610" s="121"/>
    </row>
    <row r="611" spans="10:13" s="29" customFormat="1" ht="15" customHeight="1">
      <c r="J611" s="121"/>
      <c r="K611" s="121"/>
      <c r="L611" s="121"/>
      <c r="M611" s="121"/>
    </row>
    <row r="612" spans="10:13" s="29" customFormat="1" ht="15" customHeight="1">
      <c r="J612" s="121"/>
      <c r="K612" s="121"/>
      <c r="L612" s="121"/>
      <c r="M612" s="121"/>
    </row>
    <row r="613" spans="10:13" s="29" customFormat="1" ht="15" customHeight="1">
      <c r="J613" s="121"/>
      <c r="K613" s="121"/>
      <c r="L613" s="121"/>
      <c r="M613" s="121"/>
    </row>
    <row r="614" spans="10:13" s="29" customFormat="1" ht="15" customHeight="1">
      <c r="J614" s="121"/>
      <c r="K614" s="121"/>
      <c r="L614" s="121"/>
      <c r="M614" s="121"/>
    </row>
    <row r="615" spans="10:13" s="29" customFormat="1" ht="15" customHeight="1">
      <c r="J615" s="121"/>
      <c r="K615" s="121"/>
      <c r="L615" s="121"/>
      <c r="M615" s="121"/>
    </row>
    <row r="616" spans="10:13" s="29" customFormat="1" ht="15" customHeight="1">
      <c r="J616" s="121"/>
      <c r="K616" s="121"/>
      <c r="L616" s="121"/>
      <c r="M616" s="121"/>
    </row>
    <row r="617" spans="10:13" s="29" customFormat="1" ht="15" customHeight="1">
      <c r="J617" s="121"/>
      <c r="K617" s="121"/>
      <c r="L617" s="121"/>
      <c r="M617" s="121"/>
    </row>
    <row r="618" spans="10:13" s="29" customFormat="1" ht="15" customHeight="1">
      <c r="J618" s="121"/>
      <c r="K618" s="121"/>
      <c r="L618" s="121"/>
      <c r="M618" s="121"/>
    </row>
    <row r="619" spans="10:13" s="29" customFormat="1" ht="15" customHeight="1">
      <c r="J619" s="121"/>
      <c r="K619" s="121"/>
      <c r="L619" s="121"/>
      <c r="M619" s="121"/>
    </row>
    <row r="620" spans="10:13" s="29" customFormat="1" ht="15" customHeight="1">
      <c r="J620" s="121"/>
      <c r="K620" s="121"/>
      <c r="L620" s="121"/>
      <c r="M620" s="121"/>
    </row>
    <row r="621" spans="10:13" s="29" customFormat="1" ht="15" customHeight="1">
      <c r="J621" s="121"/>
      <c r="K621" s="121"/>
      <c r="L621" s="121"/>
      <c r="M621" s="121"/>
    </row>
    <row r="622" spans="10:13" s="29" customFormat="1" ht="15" customHeight="1">
      <c r="J622" s="121"/>
      <c r="K622" s="121"/>
      <c r="L622" s="121"/>
      <c r="M622" s="121"/>
    </row>
    <row r="623" spans="10:13" s="29" customFormat="1" ht="15" customHeight="1">
      <c r="J623" s="121"/>
      <c r="K623" s="121"/>
      <c r="L623" s="121"/>
      <c r="M623" s="121"/>
    </row>
    <row r="624" spans="10:13" s="29" customFormat="1" ht="15" customHeight="1">
      <c r="J624" s="121"/>
      <c r="K624" s="121"/>
      <c r="L624" s="121"/>
      <c r="M624" s="121"/>
    </row>
    <row r="625" spans="10:13" s="29" customFormat="1" ht="15" customHeight="1">
      <c r="J625" s="121"/>
      <c r="K625" s="121"/>
      <c r="L625" s="121"/>
      <c r="M625" s="121"/>
    </row>
    <row r="626" spans="10:13" s="29" customFormat="1" ht="15" customHeight="1">
      <c r="J626" s="121"/>
      <c r="K626" s="121"/>
      <c r="L626" s="121"/>
      <c r="M626" s="121"/>
    </row>
    <row r="627" spans="10:13" s="29" customFormat="1" ht="15" customHeight="1">
      <c r="J627" s="121"/>
      <c r="K627" s="121"/>
      <c r="L627" s="121"/>
      <c r="M627" s="121"/>
    </row>
    <row r="628" spans="10:13" s="29" customFormat="1" ht="15" customHeight="1">
      <c r="J628" s="121"/>
      <c r="K628" s="121"/>
      <c r="L628" s="121"/>
      <c r="M628" s="121"/>
    </row>
    <row r="629" spans="10:13" s="29" customFormat="1" ht="15" customHeight="1">
      <c r="J629" s="121"/>
      <c r="K629" s="121"/>
      <c r="L629" s="121"/>
      <c r="M629" s="121"/>
    </row>
    <row r="630" spans="10:13" s="29" customFormat="1" ht="15" customHeight="1">
      <c r="J630" s="121"/>
      <c r="K630" s="121"/>
      <c r="L630" s="121"/>
      <c r="M630" s="121"/>
    </row>
    <row r="631" spans="10:13" s="29" customFormat="1" ht="15" customHeight="1">
      <c r="J631" s="121"/>
      <c r="K631" s="121"/>
      <c r="L631" s="121"/>
      <c r="M631" s="121"/>
    </row>
    <row r="632" spans="10:13" s="29" customFormat="1" ht="15" customHeight="1">
      <c r="J632" s="121"/>
      <c r="K632" s="121"/>
      <c r="L632" s="121"/>
      <c r="M632" s="121"/>
    </row>
    <row r="633" spans="10:13" s="29" customFormat="1" ht="15" customHeight="1">
      <c r="J633" s="121"/>
      <c r="K633" s="121"/>
      <c r="L633" s="121"/>
      <c r="M633" s="121"/>
    </row>
    <row r="634" spans="10:13" s="29" customFormat="1" ht="15" customHeight="1">
      <c r="J634" s="121"/>
      <c r="K634" s="121"/>
      <c r="L634" s="121"/>
      <c r="M634" s="121"/>
    </row>
    <row r="635" spans="10:13" s="29" customFormat="1" ht="15" customHeight="1">
      <c r="J635" s="121"/>
      <c r="K635" s="121"/>
      <c r="L635" s="121"/>
      <c r="M635" s="121"/>
    </row>
    <row r="636" spans="10:13" s="29" customFormat="1" ht="15" customHeight="1">
      <c r="J636" s="121"/>
      <c r="K636" s="121"/>
      <c r="L636" s="121"/>
      <c r="M636" s="121"/>
    </row>
    <row r="637" spans="10:13" s="29" customFormat="1" ht="15" customHeight="1">
      <c r="J637" s="121"/>
      <c r="K637" s="121"/>
      <c r="L637" s="121"/>
      <c r="M637" s="121"/>
    </row>
    <row r="638" spans="10:13" s="29" customFormat="1" ht="15" customHeight="1">
      <c r="J638" s="121"/>
      <c r="K638" s="121"/>
      <c r="L638" s="121"/>
      <c r="M638" s="121"/>
    </row>
    <row r="639" spans="10:13" s="29" customFormat="1" ht="15" customHeight="1">
      <c r="J639" s="121"/>
      <c r="K639" s="121"/>
      <c r="L639" s="121"/>
      <c r="M639" s="121"/>
    </row>
    <row r="640" spans="10:13" s="29" customFormat="1" ht="15" customHeight="1">
      <c r="J640" s="121"/>
      <c r="K640" s="121"/>
      <c r="L640" s="121"/>
      <c r="M640" s="121"/>
    </row>
    <row r="641" spans="10:13" s="29" customFormat="1" ht="15" customHeight="1">
      <c r="J641" s="121"/>
      <c r="K641" s="121"/>
      <c r="L641" s="121"/>
      <c r="M641" s="121"/>
    </row>
    <row r="642" spans="10:13" s="29" customFormat="1" ht="15" customHeight="1">
      <c r="J642" s="121"/>
      <c r="K642" s="121"/>
      <c r="L642" s="121"/>
      <c r="M642" s="121"/>
    </row>
    <row r="643" spans="10:13" s="29" customFormat="1" ht="15" customHeight="1">
      <c r="J643" s="121"/>
      <c r="K643" s="121"/>
      <c r="L643" s="121"/>
      <c r="M643" s="121"/>
    </row>
    <row r="644" spans="10:13" s="29" customFormat="1" ht="15" customHeight="1">
      <c r="J644" s="121"/>
      <c r="K644" s="121"/>
      <c r="L644" s="121"/>
      <c r="M644" s="121"/>
    </row>
    <row r="645" spans="10:13" s="29" customFormat="1" ht="15" customHeight="1">
      <c r="J645" s="121"/>
      <c r="K645" s="121"/>
      <c r="L645" s="121"/>
      <c r="M645" s="121"/>
    </row>
    <row r="646" spans="10:13" s="29" customFormat="1" ht="15" customHeight="1">
      <c r="J646" s="121"/>
      <c r="K646" s="121"/>
      <c r="L646" s="121"/>
      <c r="M646" s="121"/>
    </row>
    <row r="647" spans="10:13" s="29" customFormat="1" ht="15" customHeight="1">
      <c r="J647" s="121"/>
      <c r="K647" s="121"/>
      <c r="L647" s="121"/>
      <c r="M647" s="121"/>
    </row>
    <row r="648" spans="10:13" s="29" customFormat="1" ht="15" customHeight="1">
      <c r="J648" s="121"/>
      <c r="K648" s="121"/>
      <c r="L648" s="121"/>
      <c r="M648" s="121"/>
    </row>
    <row r="649" spans="10:13" s="29" customFormat="1" ht="15" customHeight="1">
      <c r="J649" s="121"/>
      <c r="K649" s="121"/>
      <c r="L649" s="121"/>
      <c r="M649" s="121"/>
    </row>
    <row r="650" spans="10:13" s="29" customFormat="1" ht="15" customHeight="1">
      <c r="J650" s="121"/>
      <c r="K650" s="121"/>
      <c r="L650" s="121"/>
      <c r="M650" s="121"/>
    </row>
    <row r="651" spans="10:13" s="29" customFormat="1" ht="15" customHeight="1">
      <c r="J651" s="121"/>
      <c r="K651" s="121"/>
      <c r="L651" s="121"/>
      <c r="M651" s="121"/>
    </row>
    <row r="652" spans="10:13" s="29" customFormat="1" ht="15" customHeight="1">
      <c r="J652" s="121"/>
      <c r="K652" s="121"/>
      <c r="L652" s="121"/>
      <c r="M652" s="121"/>
    </row>
    <row r="653" spans="10:13" s="29" customFormat="1" ht="15" customHeight="1">
      <c r="J653" s="121"/>
      <c r="K653" s="121"/>
      <c r="L653" s="121"/>
      <c r="M653" s="121"/>
    </row>
    <row r="654" spans="10:13" s="29" customFormat="1" ht="15" customHeight="1">
      <c r="J654" s="121"/>
      <c r="K654" s="121"/>
      <c r="L654" s="121"/>
      <c r="M654" s="121"/>
    </row>
    <row r="655" spans="10:13" s="29" customFormat="1" ht="15" customHeight="1">
      <c r="J655" s="121"/>
      <c r="K655" s="121"/>
      <c r="L655" s="121"/>
      <c r="M655" s="121"/>
    </row>
    <row r="656" spans="10:13" s="29" customFormat="1" ht="15" customHeight="1">
      <c r="J656" s="121"/>
      <c r="K656" s="121"/>
      <c r="L656" s="121"/>
      <c r="M656" s="121"/>
    </row>
    <row r="657" spans="10:13" s="29" customFormat="1" ht="15" customHeight="1">
      <c r="J657" s="121"/>
      <c r="K657" s="121"/>
      <c r="L657" s="121"/>
      <c r="M657" s="121"/>
    </row>
    <row r="658" spans="10:13" s="29" customFormat="1" ht="15" customHeight="1">
      <c r="J658" s="121"/>
      <c r="K658" s="121"/>
      <c r="L658" s="121"/>
      <c r="M658" s="121"/>
    </row>
    <row r="659" spans="10:13" s="29" customFormat="1" ht="15" customHeight="1">
      <c r="J659" s="121"/>
      <c r="K659" s="121"/>
      <c r="L659" s="121"/>
      <c r="M659" s="121"/>
    </row>
    <row r="660" spans="10:13" s="29" customFormat="1" ht="15" customHeight="1">
      <c r="J660" s="121"/>
      <c r="K660" s="121"/>
      <c r="L660" s="121"/>
      <c r="M660" s="121"/>
    </row>
    <row r="661" spans="10:13" s="29" customFormat="1" ht="15" customHeight="1">
      <c r="J661" s="121"/>
      <c r="K661" s="121"/>
      <c r="L661" s="121"/>
      <c r="M661" s="121"/>
    </row>
    <row r="662" spans="10:13" s="29" customFormat="1" ht="15" customHeight="1">
      <c r="J662" s="121"/>
      <c r="K662" s="121"/>
      <c r="L662" s="121"/>
      <c r="M662" s="121"/>
    </row>
    <row r="663" spans="10:13" s="29" customFormat="1" ht="15" customHeight="1">
      <c r="J663" s="121"/>
      <c r="K663" s="121"/>
      <c r="L663" s="121"/>
      <c r="M663" s="121"/>
    </row>
    <row r="664" spans="10:13" s="29" customFormat="1" ht="15" customHeight="1">
      <c r="J664" s="121"/>
      <c r="K664" s="121"/>
      <c r="L664" s="121"/>
      <c r="M664" s="121"/>
    </row>
    <row r="665" spans="10:13" s="29" customFormat="1" ht="15" customHeight="1">
      <c r="J665" s="121"/>
      <c r="K665" s="121"/>
      <c r="L665" s="121"/>
      <c r="M665" s="121"/>
    </row>
    <row r="666" spans="10:13" s="29" customFormat="1" ht="15" customHeight="1">
      <c r="J666" s="121"/>
      <c r="K666" s="121"/>
      <c r="L666" s="121"/>
      <c r="M666" s="121"/>
    </row>
    <row r="667" spans="10:13" s="29" customFormat="1" ht="15" customHeight="1">
      <c r="J667" s="121"/>
      <c r="K667" s="121"/>
      <c r="L667" s="121"/>
      <c r="M667" s="121"/>
    </row>
    <row r="668" spans="10:13" s="29" customFormat="1" ht="15" customHeight="1">
      <c r="J668" s="121"/>
      <c r="K668" s="121"/>
      <c r="L668" s="121"/>
      <c r="M668" s="121"/>
    </row>
    <row r="669" spans="10:13" s="29" customFormat="1" ht="15" customHeight="1">
      <c r="J669" s="121"/>
      <c r="K669" s="121"/>
      <c r="L669" s="121"/>
      <c r="M669" s="121"/>
    </row>
    <row r="670" spans="10:13" s="29" customFormat="1" ht="15" customHeight="1">
      <c r="J670" s="121"/>
      <c r="K670" s="121"/>
      <c r="L670" s="121"/>
      <c r="M670" s="121"/>
    </row>
    <row r="671" spans="10:13" s="29" customFormat="1" ht="15" customHeight="1">
      <c r="J671" s="121"/>
      <c r="K671" s="121"/>
      <c r="L671" s="121"/>
      <c r="M671" s="121"/>
    </row>
    <row r="672" spans="10:13" s="29" customFormat="1" ht="15" customHeight="1">
      <c r="J672" s="121"/>
      <c r="K672" s="121"/>
      <c r="L672" s="121"/>
      <c r="M672" s="121"/>
    </row>
    <row r="673" spans="10:13" s="29" customFormat="1" ht="15" customHeight="1">
      <c r="J673" s="121"/>
      <c r="K673" s="121"/>
      <c r="L673" s="121"/>
      <c r="M673" s="121"/>
    </row>
    <row r="674" spans="10:13" s="29" customFormat="1" ht="15" customHeight="1">
      <c r="J674" s="121"/>
      <c r="K674" s="121"/>
      <c r="L674" s="121"/>
      <c r="M674" s="121"/>
    </row>
    <row r="675" spans="10:13" s="29" customFormat="1" ht="15" customHeight="1">
      <c r="J675" s="121"/>
      <c r="K675" s="121"/>
      <c r="L675" s="121"/>
      <c r="M675" s="121"/>
    </row>
    <row r="676" spans="10:13" s="29" customFormat="1" ht="15" customHeight="1">
      <c r="J676" s="121"/>
      <c r="K676" s="121"/>
      <c r="L676" s="121"/>
      <c r="M676" s="121"/>
    </row>
    <row r="677" spans="10:13" s="29" customFormat="1" ht="15" customHeight="1">
      <c r="J677" s="121"/>
      <c r="K677" s="121"/>
      <c r="L677" s="121"/>
      <c r="M677" s="121"/>
    </row>
    <row r="678" spans="10:13" s="29" customFormat="1" ht="15" customHeight="1">
      <c r="J678" s="121"/>
      <c r="K678" s="121"/>
      <c r="L678" s="121"/>
      <c r="M678" s="121"/>
    </row>
    <row r="679" spans="10:13" s="29" customFormat="1" ht="15" customHeight="1">
      <c r="J679" s="121"/>
      <c r="K679" s="121"/>
      <c r="L679" s="121"/>
      <c r="M679" s="121"/>
    </row>
    <row r="680" spans="10:13" s="29" customFormat="1" ht="15" customHeight="1">
      <c r="J680" s="121"/>
      <c r="K680" s="121"/>
      <c r="L680" s="121"/>
      <c r="M680" s="121"/>
    </row>
    <row r="681" spans="10:13" s="29" customFormat="1" ht="15" customHeight="1">
      <c r="J681" s="121"/>
      <c r="K681" s="121"/>
      <c r="L681" s="121"/>
      <c r="M681" s="121"/>
    </row>
    <row r="682" spans="10:13" s="29" customFormat="1" ht="15" customHeight="1">
      <c r="J682" s="121"/>
      <c r="K682" s="121"/>
      <c r="L682" s="121"/>
      <c r="M682" s="121"/>
    </row>
    <row r="683" spans="10:13" s="29" customFormat="1" ht="15" customHeight="1">
      <c r="J683" s="121"/>
      <c r="K683" s="121"/>
      <c r="L683" s="121"/>
      <c r="M683" s="121"/>
    </row>
    <row r="684" spans="10:13" s="29" customFormat="1" ht="15" customHeight="1">
      <c r="J684" s="121"/>
      <c r="K684" s="121"/>
      <c r="L684" s="121"/>
      <c r="M684" s="121"/>
    </row>
    <row r="685" spans="10:13" s="29" customFormat="1" ht="15" customHeight="1">
      <c r="J685" s="121"/>
      <c r="K685" s="121"/>
      <c r="L685" s="121"/>
      <c r="M685" s="121"/>
    </row>
    <row r="686" spans="10:13" s="29" customFormat="1" ht="15" customHeight="1">
      <c r="J686" s="121"/>
      <c r="K686" s="121"/>
      <c r="L686" s="121"/>
      <c r="M686" s="121"/>
    </row>
    <row r="687" spans="10:13" s="29" customFormat="1" ht="15" customHeight="1">
      <c r="J687" s="121"/>
      <c r="K687" s="121"/>
      <c r="L687" s="121"/>
      <c r="M687" s="121"/>
    </row>
    <row r="688" spans="10:13" s="29" customFormat="1" ht="15" customHeight="1">
      <c r="J688" s="121"/>
      <c r="K688" s="121"/>
      <c r="L688" s="121"/>
      <c r="M688" s="121"/>
    </row>
    <row r="689" spans="10:13" s="29" customFormat="1" ht="15" customHeight="1">
      <c r="J689" s="121"/>
      <c r="K689" s="121"/>
      <c r="L689" s="121"/>
      <c r="M689" s="121"/>
    </row>
    <row r="690" spans="10:13" s="29" customFormat="1" ht="15" customHeight="1">
      <c r="J690" s="121"/>
      <c r="K690" s="121"/>
      <c r="L690" s="121"/>
      <c r="M690" s="121"/>
    </row>
    <row r="691" spans="10:13" s="29" customFormat="1" ht="15" customHeight="1">
      <c r="J691" s="121"/>
      <c r="K691" s="121"/>
      <c r="L691" s="121"/>
      <c r="M691" s="121"/>
    </row>
    <row r="692" spans="10:13" s="29" customFormat="1" ht="15" customHeight="1">
      <c r="J692" s="121"/>
      <c r="K692" s="121"/>
      <c r="L692" s="121"/>
      <c r="M692" s="121"/>
    </row>
    <row r="693" spans="10:13" s="29" customFormat="1" ht="15" customHeight="1">
      <c r="J693" s="121"/>
      <c r="K693" s="121"/>
      <c r="L693" s="121"/>
      <c r="M693" s="121"/>
    </row>
    <row r="694" spans="10:13" s="29" customFormat="1" ht="15" customHeight="1">
      <c r="J694" s="121"/>
      <c r="K694" s="121"/>
      <c r="L694" s="121"/>
      <c r="M694" s="121"/>
    </row>
    <row r="695" spans="10:13" s="29" customFormat="1" ht="15" customHeight="1">
      <c r="J695" s="121"/>
      <c r="K695" s="121"/>
      <c r="L695" s="121"/>
      <c r="M695" s="121"/>
    </row>
    <row r="696" spans="10:13" s="29" customFormat="1" ht="15" customHeight="1">
      <c r="J696" s="121"/>
      <c r="K696" s="121"/>
      <c r="L696" s="121"/>
      <c r="M696" s="121"/>
    </row>
    <row r="697" spans="10:13" s="29" customFormat="1" ht="15" customHeight="1">
      <c r="J697" s="121"/>
      <c r="K697" s="121"/>
      <c r="L697" s="121"/>
      <c r="M697" s="121"/>
    </row>
    <row r="698" spans="10:13" s="29" customFormat="1" ht="15" customHeight="1">
      <c r="J698" s="121"/>
      <c r="K698" s="121"/>
      <c r="L698" s="121"/>
      <c r="M698" s="121"/>
    </row>
    <row r="699" spans="10:13" s="29" customFormat="1" ht="15" customHeight="1">
      <c r="J699" s="121"/>
      <c r="K699" s="121"/>
      <c r="L699" s="121"/>
      <c r="M699" s="121"/>
    </row>
    <row r="700" spans="10:13" s="29" customFormat="1" ht="15" customHeight="1">
      <c r="J700" s="121"/>
      <c r="K700" s="121"/>
      <c r="L700" s="121"/>
      <c r="M700" s="121"/>
    </row>
    <row r="701" spans="10:13" s="29" customFormat="1" ht="15" customHeight="1">
      <c r="J701" s="121"/>
      <c r="K701" s="121"/>
      <c r="L701" s="121"/>
      <c r="M701" s="121"/>
    </row>
    <row r="702" spans="10:13" s="29" customFormat="1" ht="15" customHeight="1">
      <c r="J702" s="121"/>
      <c r="K702" s="121"/>
      <c r="L702" s="121"/>
      <c r="M702" s="121"/>
    </row>
    <row r="703" spans="10:13" s="29" customFormat="1" ht="15" customHeight="1">
      <c r="J703" s="121"/>
      <c r="K703" s="121"/>
      <c r="L703" s="121"/>
      <c r="M703" s="121"/>
    </row>
    <row r="704" spans="10:13" s="29" customFormat="1" ht="15" customHeight="1">
      <c r="J704" s="121"/>
      <c r="K704" s="121"/>
      <c r="L704" s="121"/>
      <c r="M704" s="121"/>
    </row>
    <row r="705" spans="10:13" s="29" customFormat="1" ht="15" customHeight="1">
      <c r="J705" s="121"/>
      <c r="K705" s="121"/>
      <c r="L705" s="121"/>
      <c r="M705" s="121"/>
    </row>
    <row r="706" spans="10:13" s="29" customFormat="1" ht="15" customHeight="1">
      <c r="J706" s="121"/>
      <c r="K706" s="121"/>
      <c r="L706" s="121"/>
      <c r="M706" s="121"/>
    </row>
    <row r="707" spans="10:13" s="29" customFormat="1" ht="15" customHeight="1">
      <c r="J707" s="121"/>
      <c r="K707" s="121"/>
      <c r="L707" s="121"/>
      <c r="M707" s="121"/>
    </row>
    <row r="708" spans="10:13" s="29" customFormat="1" ht="15" customHeight="1">
      <c r="J708" s="121"/>
      <c r="K708" s="121"/>
      <c r="L708" s="121"/>
      <c r="M708" s="121"/>
    </row>
    <row r="709" spans="10:13" s="29" customFormat="1" ht="15" customHeight="1">
      <c r="J709" s="121"/>
      <c r="K709" s="121"/>
      <c r="L709" s="121"/>
      <c r="M709" s="121"/>
    </row>
    <row r="710" spans="10:13" s="29" customFormat="1" ht="15" customHeight="1">
      <c r="J710" s="121"/>
      <c r="K710" s="121"/>
      <c r="L710" s="121"/>
      <c r="M710" s="121"/>
    </row>
    <row r="711" spans="10:13" s="29" customFormat="1" ht="15" customHeight="1">
      <c r="J711" s="121"/>
      <c r="K711" s="121"/>
      <c r="L711" s="121"/>
      <c r="M711" s="121"/>
    </row>
    <row r="712" spans="10:13" s="29" customFormat="1" ht="15" customHeight="1">
      <c r="J712" s="121"/>
      <c r="K712" s="121"/>
      <c r="L712" s="121"/>
      <c r="M712" s="121"/>
    </row>
    <row r="713" spans="10:13" s="29" customFormat="1" ht="15" customHeight="1">
      <c r="J713" s="121"/>
      <c r="K713" s="121"/>
      <c r="L713" s="121"/>
      <c r="M713" s="121"/>
    </row>
    <row r="714" spans="10:13" s="29" customFormat="1" ht="15" customHeight="1">
      <c r="J714" s="121"/>
      <c r="K714" s="121"/>
      <c r="L714" s="121"/>
      <c r="M714" s="121"/>
    </row>
    <row r="715" spans="10:13" s="29" customFormat="1" ht="15" customHeight="1">
      <c r="J715" s="121"/>
      <c r="K715" s="121"/>
      <c r="L715" s="121"/>
      <c r="M715" s="121"/>
    </row>
    <row r="716" spans="10:13" s="29" customFormat="1" ht="15" customHeight="1">
      <c r="J716" s="121"/>
      <c r="K716" s="121"/>
      <c r="L716" s="121"/>
      <c r="M716" s="121"/>
    </row>
    <row r="717" spans="10:13" s="29" customFormat="1" ht="15" customHeight="1">
      <c r="J717" s="121"/>
      <c r="K717" s="121"/>
      <c r="L717" s="121"/>
      <c r="M717" s="121"/>
    </row>
    <row r="718" spans="10:13" s="29" customFormat="1" ht="15" customHeight="1">
      <c r="J718" s="121"/>
      <c r="K718" s="121"/>
      <c r="L718" s="121"/>
      <c r="M718" s="121"/>
    </row>
    <row r="719" spans="10:13" s="29" customFormat="1" ht="15" customHeight="1">
      <c r="J719" s="121"/>
      <c r="K719" s="121"/>
      <c r="L719" s="121"/>
      <c r="M719" s="121"/>
    </row>
    <row r="720" spans="10:13" s="29" customFormat="1" ht="15" customHeight="1">
      <c r="J720" s="121"/>
      <c r="K720" s="121"/>
      <c r="L720" s="121"/>
      <c r="M720" s="121"/>
    </row>
    <row r="721" spans="10:13" s="29" customFormat="1" ht="15" customHeight="1">
      <c r="J721" s="121"/>
      <c r="K721" s="121"/>
      <c r="L721" s="121"/>
      <c r="M721" s="121"/>
    </row>
    <row r="722" spans="10:13" s="29" customFormat="1" ht="15" customHeight="1">
      <c r="J722" s="121"/>
      <c r="K722" s="121"/>
      <c r="L722" s="121"/>
      <c r="M722" s="121"/>
    </row>
    <row r="723" spans="10:13" s="29" customFormat="1" ht="15" customHeight="1">
      <c r="J723" s="121"/>
      <c r="K723" s="121"/>
      <c r="L723" s="121"/>
      <c r="M723" s="121"/>
    </row>
    <row r="724" spans="10:13" s="29" customFormat="1" ht="15" customHeight="1">
      <c r="J724" s="121"/>
      <c r="K724" s="121"/>
      <c r="L724" s="121"/>
      <c r="M724" s="121"/>
    </row>
    <row r="725" spans="10:13" s="29" customFormat="1" ht="15" customHeight="1">
      <c r="J725" s="121"/>
      <c r="K725" s="121"/>
      <c r="L725" s="121"/>
      <c r="M725" s="121"/>
    </row>
    <row r="726" spans="10:13" s="29" customFormat="1" ht="15" customHeight="1">
      <c r="J726" s="121"/>
      <c r="K726" s="121"/>
      <c r="L726" s="121"/>
      <c r="M726" s="121"/>
    </row>
    <row r="727" spans="10:13" s="29" customFormat="1" ht="15" customHeight="1">
      <c r="J727" s="121"/>
      <c r="K727" s="121"/>
      <c r="L727" s="121"/>
      <c r="M727" s="121"/>
    </row>
    <row r="728" spans="10:13" s="29" customFormat="1" ht="15" customHeight="1">
      <c r="J728" s="121"/>
      <c r="K728" s="121"/>
      <c r="L728" s="121"/>
      <c r="M728" s="121"/>
    </row>
    <row r="729" spans="10:13" s="29" customFormat="1" ht="15" customHeight="1">
      <c r="J729" s="121"/>
      <c r="K729" s="121"/>
      <c r="L729" s="121"/>
      <c r="M729" s="121"/>
    </row>
    <row r="730" spans="10:13" s="29" customFormat="1" ht="15" customHeight="1">
      <c r="J730" s="121"/>
      <c r="K730" s="121"/>
      <c r="L730" s="121"/>
      <c r="M730" s="121"/>
    </row>
    <row r="731" spans="10:13" s="29" customFormat="1" ht="15" customHeight="1">
      <c r="J731" s="121"/>
      <c r="K731" s="121"/>
      <c r="L731" s="121"/>
      <c r="M731" s="121"/>
    </row>
    <row r="732" spans="10:13" s="29" customFormat="1" ht="15" customHeight="1">
      <c r="J732" s="121"/>
      <c r="K732" s="121"/>
      <c r="L732" s="121"/>
      <c r="M732" s="121"/>
    </row>
    <row r="733" spans="10:13" s="29" customFormat="1" ht="15" customHeight="1">
      <c r="J733" s="121"/>
      <c r="K733" s="121"/>
      <c r="L733" s="121"/>
      <c r="M733" s="121"/>
    </row>
    <row r="734" spans="10:13" s="29" customFormat="1" ht="15" customHeight="1">
      <c r="J734" s="121"/>
      <c r="K734" s="121"/>
      <c r="L734" s="121"/>
      <c r="M734" s="121"/>
    </row>
    <row r="735" spans="10:13" s="29" customFormat="1" ht="15" customHeight="1">
      <c r="J735" s="121"/>
      <c r="K735" s="121"/>
      <c r="L735" s="121"/>
      <c r="M735" s="121"/>
    </row>
    <row r="736" spans="10:13" s="29" customFormat="1" ht="15" customHeight="1">
      <c r="J736" s="121"/>
      <c r="K736" s="121"/>
      <c r="L736" s="121"/>
      <c r="M736" s="121"/>
    </row>
    <row r="737" spans="10:13" s="29" customFormat="1" ht="15" customHeight="1">
      <c r="J737" s="121"/>
      <c r="K737" s="121"/>
      <c r="L737" s="121"/>
      <c r="M737" s="121"/>
    </row>
    <row r="738" spans="10:13" s="29" customFormat="1" ht="15" customHeight="1">
      <c r="J738" s="121"/>
      <c r="K738" s="121"/>
      <c r="L738" s="121"/>
      <c r="M738" s="121"/>
    </row>
    <row r="739" spans="10:13" s="29" customFormat="1" ht="15" customHeight="1">
      <c r="J739" s="121"/>
      <c r="K739" s="121"/>
      <c r="L739" s="121"/>
      <c r="M739" s="121"/>
    </row>
    <row r="740" spans="10:13" s="29" customFormat="1" ht="15" customHeight="1">
      <c r="J740" s="121"/>
      <c r="K740" s="121"/>
      <c r="L740" s="121"/>
      <c r="M740" s="121"/>
    </row>
    <row r="741" spans="10:13" s="29" customFormat="1" ht="15" customHeight="1">
      <c r="J741" s="121"/>
      <c r="K741" s="121"/>
      <c r="L741" s="121"/>
      <c r="M741" s="121"/>
    </row>
    <row r="742" spans="10:13" s="29" customFormat="1" ht="15" customHeight="1">
      <c r="J742" s="121"/>
      <c r="K742" s="121"/>
      <c r="L742" s="121"/>
      <c r="M742" s="121"/>
    </row>
    <row r="743" spans="10:13" s="29" customFormat="1" ht="15" customHeight="1">
      <c r="J743" s="121"/>
      <c r="K743" s="121"/>
      <c r="L743" s="121"/>
      <c r="M743" s="121"/>
    </row>
    <row r="744" spans="10:13" s="29" customFormat="1" ht="15" customHeight="1">
      <c r="J744" s="121"/>
      <c r="K744" s="121"/>
      <c r="L744" s="121"/>
      <c r="M744" s="121"/>
    </row>
    <row r="745" spans="10:13" s="29" customFormat="1" ht="15" customHeight="1">
      <c r="J745" s="121"/>
      <c r="K745" s="121"/>
      <c r="L745" s="121"/>
      <c r="M745" s="121"/>
    </row>
    <row r="746" spans="10:13" s="29" customFormat="1" ht="15" customHeight="1">
      <c r="J746" s="121"/>
      <c r="K746" s="121"/>
      <c r="L746" s="121"/>
      <c r="M746" s="121"/>
    </row>
    <row r="747" spans="10:13" s="29" customFormat="1" ht="15" customHeight="1">
      <c r="J747" s="121"/>
      <c r="K747" s="121"/>
      <c r="L747" s="121"/>
      <c r="M747" s="121"/>
    </row>
    <row r="748" spans="10:13" s="29" customFormat="1" ht="15" customHeight="1">
      <c r="J748" s="121"/>
      <c r="K748" s="121"/>
      <c r="L748" s="121"/>
      <c r="M748" s="121"/>
    </row>
    <row r="749" spans="10:13" s="29" customFormat="1" ht="15" customHeight="1">
      <c r="J749" s="121"/>
      <c r="K749" s="121"/>
      <c r="L749" s="121"/>
      <c r="M749" s="121"/>
    </row>
    <row r="750" spans="10:13" s="29" customFormat="1" ht="15" customHeight="1">
      <c r="J750" s="121"/>
      <c r="K750" s="121"/>
      <c r="L750" s="121"/>
      <c r="M750" s="121"/>
    </row>
    <row r="751" spans="10:13" s="29" customFormat="1" ht="15" customHeight="1">
      <c r="J751" s="121"/>
      <c r="K751" s="121"/>
      <c r="L751" s="121"/>
      <c r="M751" s="121"/>
    </row>
    <row r="752" spans="10:13" s="29" customFormat="1" ht="15" customHeight="1">
      <c r="J752" s="121"/>
      <c r="K752" s="121"/>
      <c r="L752" s="121"/>
      <c r="M752" s="121"/>
    </row>
    <row r="753" spans="10:13" s="29" customFormat="1" ht="15" customHeight="1">
      <c r="J753" s="121"/>
      <c r="K753" s="121"/>
      <c r="L753" s="121"/>
      <c r="M753" s="121"/>
    </row>
    <row r="754" spans="10:13" s="29" customFormat="1" ht="15" customHeight="1">
      <c r="J754" s="121"/>
      <c r="K754" s="121"/>
      <c r="L754" s="121"/>
      <c r="M754" s="121"/>
    </row>
    <row r="755" spans="10:13" s="29" customFormat="1" ht="15" customHeight="1">
      <c r="J755" s="121"/>
      <c r="K755" s="121"/>
      <c r="L755" s="121"/>
      <c r="M755" s="121"/>
    </row>
    <row r="756" spans="10:13" s="29" customFormat="1" ht="15" customHeight="1">
      <c r="J756" s="121"/>
      <c r="K756" s="121"/>
      <c r="L756" s="121"/>
      <c r="M756" s="121"/>
    </row>
    <row r="757" spans="10:13" s="29" customFormat="1" ht="15" customHeight="1">
      <c r="J757" s="121"/>
      <c r="K757" s="121"/>
      <c r="L757" s="121"/>
      <c r="M757" s="121"/>
    </row>
    <row r="758" spans="10:13" s="29" customFormat="1" ht="15" customHeight="1">
      <c r="J758" s="121"/>
      <c r="K758" s="121"/>
      <c r="L758" s="121"/>
      <c r="M758" s="121"/>
    </row>
    <row r="759" spans="10:13" s="29" customFormat="1" ht="15" customHeight="1">
      <c r="J759" s="121"/>
      <c r="K759" s="121"/>
      <c r="L759" s="121"/>
      <c r="M759" s="121"/>
    </row>
    <row r="760" spans="10:13" s="29" customFormat="1" ht="15" customHeight="1">
      <c r="J760" s="121"/>
      <c r="K760" s="121"/>
      <c r="L760" s="121"/>
      <c r="M760" s="121"/>
    </row>
    <row r="761" spans="10:13" s="29" customFormat="1" ht="15" customHeight="1">
      <c r="J761" s="121"/>
      <c r="K761" s="121"/>
      <c r="L761" s="121"/>
      <c r="M761" s="121"/>
    </row>
    <row r="762" spans="10:13" s="29" customFormat="1" ht="15" customHeight="1">
      <c r="J762" s="121"/>
      <c r="K762" s="121"/>
      <c r="L762" s="121"/>
      <c r="M762" s="121"/>
    </row>
    <row r="763" spans="10:13" s="29" customFormat="1" ht="15" customHeight="1">
      <c r="J763" s="121"/>
      <c r="K763" s="121"/>
      <c r="L763" s="121"/>
      <c r="M763" s="121"/>
    </row>
    <row r="764" spans="10:13" s="29" customFormat="1" ht="15" customHeight="1">
      <c r="J764" s="121"/>
      <c r="K764" s="121"/>
      <c r="L764" s="121"/>
      <c r="M764" s="121"/>
    </row>
    <row r="765" spans="10:13" s="29" customFormat="1" ht="15" customHeight="1">
      <c r="J765" s="121"/>
      <c r="K765" s="121"/>
      <c r="L765" s="121"/>
      <c r="M765" s="121"/>
    </row>
    <row r="766" spans="10:13" s="29" customFormat="1" ht="15" customHeight="1">
      <c r="J766" s="121"/>
      <c r="K766" s="121"/>
      <c r="L766" s="121"/>
      <c r="M766" s="121"/>
    </row>
    <row r="767" spans="10:13" s="29" customFormat="1" ht="15" customHeight="1">
      <c r="J767" s="121"/>
      <c r="K767" s="121"/>
      <c r="L767" s="121"/>
      <c r="M767" s="121"/>
    </row>
    <row r="768" spans="10:13" s="29" customFormat="1" ht="15" customHeight="1">
      <c r="J768" s="121"/>
      <c r="K768" s="121"/>
      <c r="L768" s="121"/>
      <c r="M768" s="121"/>
    </row>
    <row r="769" spans="10:13" s="29" customFormat="1" ht="15" customHeight="1">
      <c r="J769" s="121"/>
      <c r="K769" s="121"/>
      <c r="L769" s="121"/>
      <c r="M769" s="121"/>
    </row>
    <row r="770" spans="10:13" s="29" customFormat="1" ht="15" customHeight="1">
      <c r="J770" s="121"/>
      <c r="K770" s="121"/>
      <c r="L770" s="121"/>
      <c r="M770" s="121"/>
    </row>
    <row r="771" spans="10:13" s="29" customFormat="1" ht="15" customHeight="1">
      <c r="J771" s="121"/>
      <c r="K771" s="121"/>
      <c r="L771" s="121"/>
      <c r="M771" s="121"/>
    </row>
    <row r="772" spans="10:13" s="29" customFormat="1" ht="15" customHeight="1">
      <c r="J772" s="121"/>
      <c r="K772" s="121"/>
      <c r="L772" s="121"/>
      <c r="M772" s="121"/>
    </row>
    <row r="773" spans="10:13" s="29" customFormat="1" ht="15" customHeight="1">
      <c r="J773" s="121"/>
      <c r="K773" s="121"/>
      <c r="L773" s="121"/>
      <c r="M773" s="121"/>
    </row>
    <row r="774" spans="10:13" s="29" customFormat="1" ht="15" customHeight="1">
      <c r="J774" s="121"/>
      <c r="K774" s="121"/>
      <c r="L774" s="121"/>
      <c r="M774" s="121"/>
    </row>
    <row r="775" spans="10:13" s="29" customFormat="1" ht="15" customHeight="1">
      <c r="J775" s="121"/>
      <c r="K775" s="121"/>
      <c r="L775" s="121"/>
      <c r="M775" s="121"/>
    </row>
    <row r="776" spans="10:13" s="29" customFormat="1" ht="15" customHeight="1">
      <c r="J776" s="121"/>
      <c r="K776" s="121"/>
      <c r="L776" s="121"/>
      <c r="M776" s="121"/>
    </row>
    <row r="777" spans="10:13" s="29" customFormat="1" ht="15" customHeight="1">
      <c r="J777" s="121"/>
      <c r="K777" s="121"/>
      <c r="L777" s="121"/>
      <c r="M777" s="121"/>
    </row>
    <row r="778" spans="10:13" s="29" customFormat="1" ht="15" customHeight="1">
      <c r="J778" s="121"/>
      <c r="K778" s="121"/>
      <c r="L778" s="121"/>
      <c r="M778" s="121"/>
    </row>
    <row r="779" spans="10:13" s="29" customFormat="1" ht="15" customHeight="1">
      <c r="J779" s="121"/>
      <c r="K779" s="121"/>
      <c r="L779" s="121"/>
      <c r="M779" s="121"/>
    </row>
    <row r="780" spans="10:13" s="29" customFormat="1" ht="15" customHeight="1">
      <c r="J780" s="121"/>
      <c r="K780" s="121"/>
      <c r="L780" s="121"/>
      <c r="M780" s="121"/>
    </row>
    <row r="781" spans="10:13" s="29" customFormat="1" ht="15" customHeight="1">
      <c r="J781" s="121"/>
      <c r="K781" s="121"/>
      <c r="L781" s="121"/>
      <c r="M781" s="121"/>
    </row>
    <row r="782" spans="10:13" s="29" customFormat="1" ht="15" customHeight="1">
      <c r="J782" s="121"/>
      <c r="K782" s="121"/>
      <c r="L782" s="121"/>
      <c r="M782" s="121"/>
    </row>
    <row r="783" spans="10:13" s="29" customFormat="1" ht="15" customHeight="1">
      <c r="J783" s="121"/>
      <c r="K783" s="121"/>
      <c r="L783" s="121"/>
      <c r="M783" s="121"/>
    </row>
    <row r="784" spans="10:13" s="29" customFormat="1" ht="15" customHeight="1">
      <c r="J784" s="121"/>
      <c r="K784" s="121"/>
      <c r="L784" s="121"/>
      <c r="M784" s="121"/>
    </row>
    <row r="785" spans="10:13" s="29" customFormat="1" ht="15" customHeight="1">
      <c r="J785" s="121"/>
      <c r="K785" s="121"/>
      <c r="L785" s="121"/>
      <c r="M785" s="121"/>
    </row>
    <row r="786" spans="10:13" s="29" customFormat="1" ht="15" customHeight="1">
      <c r="J786" s="121"/>
      <c r="K786" s="121"/>
      <c r="L786" s="121"/>
      <c r="M786" s="121"/>
    </row>
    <row r="787" spans="10:13" s="29" customFormat="1" ht="15" customHeight="1">
      <c r="J787" s="121"/>
      <c r="K787" s="121"/>
      <c r="L787" s="121"/>
      <c r="M787" s="121"/>
    </row>
    <row r="788" spans="10:13" s="29" customFormat="1" ht="15" customHeight="1">
      <c r="J788" s="121"/>
      <c r="K788" s="121"/>
      <c r="L788" s="121"/>
      <c r="M788" s="121"/>
    </row>
    <row r="789" spans="10:13" s="29" customFormat="1" ht="15" customHeight="1">
      <c r="J789" s="121"/>
      <c r="K789" s="121"/>
      <c r="L789" s="121"/>
      <c r="M789" s="121"/>
    </row>
    <row r="790" spans="10:13" s="29" customFormat="1" ht="15" customHeight="1">
      <c r="J790" s="121"/>
      <c r="K790" s="121"/>
      <c r="L790" s="121"/>
      <c r="M790" s="121"/>
    </row>
    <row r="791" spans="10:13" s="29" customFormat="1" ht="15" customHeight="1">
      <c r="J791" s="121"/>
      <c r="K791" s="121"/>
      <c r="L791" s="121"/>
      <c r="M791" s="121"/>
    </row>
    <row r="792" spans="10:13" s="29" customFormat="1" ht="15" customHeight="1">
      <c r="J792" s="121"/>
      <c r="K792" s="121"/>
      <c r="L792" s="121"/>
      <c r="M792" s="121"/>
    </row>
    <row r="793" spans="10:13" s="29" customFormat="1" ht="15" customHeight="1">
      <c r="J793" s="121"/>
      <c r="K793" s="121"/>
      <c r="L793" s="121"/>
      <c r="M793" s="121"/>
    </row>
    <row r="794" spans="10:13" s="29" customFormat="1" ht="15" customHeight="1">
      <c r="J794" s="121"/>
      <c r="K794" s="121"/>
      <c r="L794" s="121"/>
      <c r="M794" s="121"/>
    </row>
    <row r="795" spans="10:13" s="29" customFormat="1" ht="15" customHeight="1">
      <c r="J795" s="121"/>
      <c r="K795" s="121"/>
      <c r="L795" s="121"/>
      <c r="M795" s="121"/>
    </row>
    <row r="796" spans="10:13" s="29" customFormat="1" ht="15" customHeight="1">
      <c r="J796" s="121"/>
      <c r="K796" s="121"/>
      <c r="L796" s="121"/>
      <c r="M796" s="121"/>
    </row>
    <row r="797" spans="10:13" s="29" customFormat="1" ht="15" customHeight="1">
      <c r="J797" s="121"/>
      <c r="K797" s="121"/>
      <c r="L797" s="121"/>
      <c r="M797" s="121"/>
    </row>
    <row r="798" spans="10:13" s="29" customFormat="1" ht="15" customHeight="1">
      <c r="J798" s="121"/>
      <c r="K798" s="121"/>
      <c r="L798" s="121"/>
      <c r="M798" s="121"/>
    </row>
    <row r="799" spans="10:13" s="29" customFormat="1" ht="15" customHeight="1">
      <c r="J799" s="121"/>
      <c r="K799" s="121"/>
      <c r="L799" s="121"/>
      <c r="M799" s="121"/>
    </row>
    <row r="800" spans="10:13" s="29" customFormat="1" ht="15" customHeight="1">
      <c r="J800" s="121"/>
      <c r="K800" s="121"/>
      <c r="L800" s="121"/>
      <c r="M800" s="121"/>
    </row>
    <row r="801" spans="10:13" s="29" customFormat="1" ht="15" customHeight="1">
      <c r="J801" s="121"/>
      <c r="K801" s="121"/>
      <c r="L801" s="121"/>
      <c r="M801" s="121"/>
    </row>
    <row r="802" spans="10:13" s="29" customFormat="1" ht="15" customHeight="1">
      <c r="J802" s="121"/>
      <c r="K802" s="121"/>
      <c r="L802" s="121"/>
      <c r="M802" s="121"/>
    </row>
    <row r="803" spans="10:13" s="29" customFormat="1" ht="15" customHeight="1">
      <c r="J803" s="121"/>
      <c r="K803" s="121"/>
      <c r="L803" s="121"/>
      <c r="M803" s="121"/>
    </row>
    <row r="804" spans="10:13" s="29" customFormat="1" ht="15" customHeight="1">
      <c r="J804" s="121"/>
      <c r="K804" s="121"/>
      <c r="L804" s="121"/>
      <c r="M804" s="121"/>
    </row>
    <row r="805" spans="10:13" s="29" customFormat="1" ht="15" customHeight="1">
      <c r="J805" s="121"/>
      <c r="K805" s="121"/>
      <c r="L805" s="121"/>
      <c r="M805" s="121"/>
    </row>
    <row r="806" spans="10:13" s="29" customFormat="1" ht="15" customHeight="1">
      <c r="J806" s="121"/>
      <c r="K806" s="121"/>
      <c r="L806" s="121"/>
      <c r="M806" s="121"/>
    </row>
    <row r="807" spans="10:13" s="29" customFormat="1" ht="15" customHeight="1">
      <c r="J807" s="121"/>
      <c r="K807" s="121"/>
      <c r="L807" s="121"/>
      <c r="M807" s="121"/>
    </row>
    <row r="808" spans="10:13" s="29" customFormat="1" ht="15" customHeight="1">
      <c r="J808" s="121"/>
      <c r="K808" s="121"/>
      <c r="L808" s="121"/>
      <c r="M808" s="121"/>
    </row>
    <row r="809" spans="10:13" s="29" customFormat="1" ht="15" customHeight="1">
      <c r="J809" s="121"/>
      <c r="K809" s="121"/>
      <c r="L809" s="121"/>
      <c r="M809" s="121"/>
    </row>
    <row r="810" spans="10:13" s="29" customFormat="1" ht="15" customHeight="1">
      <c r="J810" s="121"/>
      <c r="K810" s="121"/>
      <c r="L810" s="121"/>
      <c r="M810" s="121"/>
    </row>
    <row r="811" spans="10:13" s="29" customFormat="1" ht="15" customHeight="1">
      <c r="J811" s="121"/>
      <c r="K811" s="121"/>
      <c r="L811" s="121"/>
      <c r="M811" s="121"/>
    </row>
    <row r="812" spans="10:13" s="29" customFormat="1" ht="15" customHeight="1">
      <c r="J812" s="121"/>
      <c r="K812" s="121"/>
      <c r="L812" s="121"/>
      <c r="M812" s="121"/>
    </row>
    <row r="813" spans="10:13" s="29" customFormat="1" ht="15" customHeight="1">
      <c r="J813" s="121"/>
      <c r="K813" s="121"/>
      <c r="L813" s="121"/>
      <c r="M813" s="121"/>
    </row>
    <row r="814" spans="10:13" s="29" customFormat="1" ht="15" customHeight="1">
      <c r="J814" s="121"/>
      <c r="K814" s="121"/>
      <c r="L814" s="121"/>
      <c r="M814" s="121"/>
    </row>
    <row r="815" spans="10:13" s="29" customFormat="1" ht="15" customHeight="1">
      <c r="J815" s="121"/>
      <c r="K815" s="121"/>
      <c r="L815" s="121"/>
      <c r="M815" s="121"/>
    </row>
    <row r="816" spans="10:13" s="29" customFormat="1" ht="15" customHeight="1">
      <c r="J816" s="121"/>
      <c r="K816" s="121"/>
      <c r="L816" s="121"/>
      <c r="M816" s="121"/>
    </row>
    <row r="817" spans="10:13" s="29" customFormat="1" ht="15" customHeight="1">
      <c r="J817" s="121"/>
      <c r="K817" s="121"/>
      <c r="L817" s="121"/>
      <c r="M817" s="121"/>
    </row>
    <row r="818" spans="10:13" s="29" customFormat="1" ht="15" customHeight="1">
      <c r="J818" s="121"/>
      <c r="K818" s="121"/>
      <c r="L818" s="121"/>
      <c r="M818" s="121"/>
    </row>
    <row r="819" spans="10:13" s="29" customFormat="1" ht="15" customHeight="1">
      <c r="J819" s="121"/>
      <c r="K819" s="121"/>
      <c r="L819" s="121"/>
      <c r="M819" s="121"/>
    </row>
    <row r="820" spans="10:13" s="29" customFormat="1" ht="15" customHeight="1">
      <c r="J820" s="121"/>
      <c r="K820" s="121"/>
      <c r="L820" s="121"/>
      <c r="M820" s="121"/>
    </row>
    <row r="821" spans="10:13" s="29" customFormat="1" ht="15" customHeight="1">
      <c r="J821" s="121"/>
      <c r="K821" s="121"/>
      <c r="L821" s="121"/>
      <c r="M821" s="121"/>
    </row>
    <row r="822" spans="10:13" s="29" customFormat="1" ht="15" customHeight="1">
      <c r="J822" s="121"/>
      <c r="K822" s="121"/>
      <c r="L822" s="121"/>
      <c r="M822" s="121"/>
    </row>
    <row r="823" spans="10:13" s="29" customFormat="1" ht="15" customHeight="1">
      <c r="J823" s="121"/>
      <c r="K823" s="121"/>
      <c r="L823" s="121"/>
      <c r="M823" s="121"/>
    </row>
    <row r="824" spans="10:13" s="29" customFormat="1" ht="15" customHeight="1">
      <c r="J824" s="121"/>
      <c r="K824" s="121"/>
      <c r="L824" s="121"/>
      <c r="M824" s="121"/>
    </row>
    <row r="825" spans="10:13" s="29" customFormat="1" ht="15" customHeight="1">
      <c r="J825" s="121"/>
      <c r="K825" s="121"/>
      <c r="L825" s="121"/>
      <c r="M825" s="121"/>
    </row>
    <row r="826" spans="10:13" s="29" customFormat="1" ht="15" customHeight="1">
      <c r="J826" s="121"/>
      <c r="K826" s="121"/>
      <c r="L826" s="121"/>
      <c r="M826" s="121"/>
    </row>
    <row r="827" spans="10:13" s="29" customFormat="1" ht="15" customHeight="1">
      <c r="J827" s="121"/>
      <c r="K827" s="121"/>
      <c r="L827" s="121"/>
      <c r="M827" s="121"/>
    </row>
    <row r="828" spans="10:13" s="29" customFormat="1" ht="15" customHeight="1">
      <c r="J828" s="121"/>
      <c r="K828" s="121"/>
      <c r="L828" s="121"/>
      <c r="M828" s="121"/>
    </row>
    <row r="829" spans="10:13" s="29" customFormat="1" ht="15" customHeight="1">
      <c r="J829" s="121"/>
      <c r="K829" s="121"/>
      <c r="L829" s="121"/>
      <c r="M829" s="121"/>
    </row>
    <row r="830" spans="10:13" s="29" customFormat="1" ht="15" customHeight="1">
      <c r="J830" s="121"/>
      <c r="K830" s="121"/>
      <c r="L830" s="121"/>
      <c r="M830" s="121"/>
    </row>
    <row r="831" spans="10:13" s="29" customFormat="1" ht="15" customHeight="1">
      <c r="J831" s="121"/>
      <c r="K831" s="121"/>
      <c r="L831" s="121"/>
      <c r="M831" s="121"/>
    </row>
    <row r="832" spans="10:13" s="29" customFormat="1" ht="15" customHeight="1">
      <c r="J832" s="121"/>
      <c r="K832" s="121"/>
      <c r="L832" s="121"/>
      <c r="M832" s="121"/>
    </row>
    <row r="833" spans="10:13" s="29" customFormat="1" ht="15" customHeight="1">
      <c r="J833" s="121"/>
      <c r="K833" s="121"/>
      <c r="L833" s="121"/>
      <c r="M833" s="121"/>
    </row>
    <row r="834" spans="10:13" s="29" customFormat="1" ht="15" customHeight="1">
      <c r="J834" s="121"/>
      <c r="K834" s="121"/>
      <c r="L834" s="121"/>
      <c r="M834" s="121"/>
    </row>
    <row r="835" spans="10:13" s="29" customFormat="1" ht="15" customHeight="1">
      <c r="J835" s="121"/>
      <c r="K835" s="121"/>
      <c r="L835" s="121"/>
      <c r="M835" s="121"/>
    </row>
    <row r="836" spans="10:13" s="29" customFormat="1" ht="15" customHeight="1">
      <c r="J836" s="121"/>
      <c r="K836" s="121"/>
      <c r="L836" s="121"/>
      <c r="M836" s="121"/>
    </row>
    <row r="837" spans="10:13" s="29" customFormat="1" ht="15" customHeight="1">
      <c r="J837" s="121"/>
      <c r="K837" s="121"/>
      <c r="L837" s="121"/>
      <c r="M837" s="121"/>
    </row>
    <row r="838" spans="10:13" s="29" customFormat="1" ht="15" customHeight="1">
      <c r="J838" s="121"/>
      <c r="K838" s="121"/>
      <c r="L838" s="121"/>
      <c r="M838" s="121"/>
    </row>
    <row r="839" spans="10:13" s="29" customFormat="1" ht="15" customHeight="1">
      <c r="J839" s="121"/>
      <c r="K839" s="121"/>
      <c r="L839" s="121"/>
      <c r="M839" s="121"/>
    </row>
    <row r="840" spans="10:13" s="29" customFormat="1" ht="15" customHeight="1">
      <c r="J840" s="121"/>
      <c r="K840" s="121"/>
      <c r="L840" s="121"/>
      <c r="M840" s="121"/>
    </row>
    <row r="841" spans="10:13" s="29" customFormat="1" ht="15" customHeight="1">
      <c r="J841" s="121"/>
      <c r="K841" s="121"/>
      <c r="L841" s="121"/>
      <c r="M841" s="121"/>
    </row>
    <row r="842" spans="10:13" s="29" customFormat="1" ht="15" customHeight="1">
      <c r="J842" s="121"/>
      <c r="K842" s="121"/>
      <c r="L842" s="121"/>
      <c r="M842" s="121"/>
    </row>
    <row r="843" spans="10:13" s="29" customFormat="1" ht="15" customHeight="1">
      <c r="J843" s="121"/>
      <c r="K843" s="121"/>
      <c r="L843" s="121"/>
      <c r="M843" s="121"/>
    </row>
    <row r="844" spans="10:13" s="29" customFormat="1" ht="15" customHeight="1">
      <c r="J844" s="121"/>
      <c r="K844" s="121"/>
      <c r="L844" s="121"/>
      <c r="M844" s="121"/>
    </row>
    <row r="845" spans="10:13" s="29" customFormat="1" ht="15" customHeight="1">
      <c r="J845" s="121"/>
      <c r="K845" s="121"/>
      <c r="L845" s="121"/>
      <c r="M845" s="121"/>
    </row>
    <row r="846" spans="10:13" s="29" customFormat="1" ht="15" customHeight="1">
      <c r="J846" s="121"/>
      <c r="K846" s="121"/>
      <c r="L846" s="121"/>
      <c r="M846" s="121"/>
    </row>
    <row r="847" spans="10:13" s="29" customFormat="1" ht="15" customHeight="1">
      <c r="J847" s="121"/>
      <c r="K847" s="121"/>
      <c r="L847" s="121"/>
      <c r="M847" s="121"/>
    </row>
    <row r="848" spans="10:13" s="29" customFormat="1" ht="15" customHeight="1">
      <c r="J848" s="121"/>
      <c r="K848" s="121"/>
      <c r="L848" s="121"/>
      <c r="M848" s="121"/>
    </row>
    <row r="849" spans="10:13" s="29" customFormat="1" ht="15" customHeight="1">
      <c r="J849" s="121"/>
      <c r="K849" s="121"/>
      <c r="L849" s="121"/>
      <c r="M849" s="121"/>
    </row>
    <row r="850" spans="10:13" s="29" customFormat="1" ht="15" customHeight="1">
      <c r="J850" s="121"/>
      <c r="K850" s="121"/>
      <c r="L850" s="121"/>
      <c r="M850" s="121"/>
    </row>
    <row r="851" spans="10:13" s="29" customFormat="1" ht="15" customHeight="1">
      <c r="J851" s="121"/>
      <c r="K851" s="121"/>
      <c r="L851" s="121"/>
      <c r="M851" s="121"/>
    </row>
    <row r="852" spans="10:13" s="29" customFormat="1" ht="15" customHeight="1">
      <c r="J852" s="121"/>
      <c r="K852" s="121"/>
      <c r="L852" s="121"/>
      <c r="M852" s="121"/>
    </row>
    <row r="853" spans="10:13" s="29" customFormat="1" ht="15" customHeight="1">
      <c r="J853" s="121"/>
      <c r="K853" s="121"/>
      <c r="L853" s="121"/>
      <c r="M853" s="121"/>
    </row>
    <row r="854" spans="10:13" s="29" customFormat="1" ht="15" customHeight="1">
      <c r="J854" s="121"/>
      <c r="K854" s="121"/>
      <c r="L854" s="121"/>
      <c r="M854" s="121"/>
    </row>
    <row r="855" spans="10:13" s="29" customFormat="1" ht="15" customHeight="1">
      <c r="J855" s="121"/>
      <c r="K855" s="121"/>
      <c r="L855" s="121"/>
      <c r="M855" s="121"/>
    </row>
    <row r="856" spans="10:13" s="29" customFormat="1" ht="15" customHeight="1">
      <c r="J856" s="121"/>
      <c r="K856" s="121"/>
      <c r="L856" s="121"/>
      <c r="M856" s="121"/>
    </row>
    <row r="857" spans="10:13" s="29" customFormat="1" ht="15" customHeight="1">
      <c r="J857" s="121"/>
      <c r="K857" s="121"/>
      <c r="L857" s="121"/>
      <c r="M857" s="121"/>
    </row>
    <row r="858" spans="10:13" s="29" customFormat="1" ht="15" customHeight="1">
      <c r="J858" s="121"/>
      <c r="K858" s="121"/>
      <c r="L858" s="121"/>
      <c r="M858" s="121"/>
    </row>
    <row r="859" spans="10:13" s="29" customFormat="1" ht="15" customHeight="1">
      <c r="J859" s="121"/>
      <c r="K859" s="121"/>
      <c r="L859" s="121"/>
      <c r="M859" s="121"/>
    </row>
    <row r="860" spans="10:13" s="29" customFormat="1" ht="15" customHeight="1">
      <c r="J860" s="121"/>
      <c r="K860" s="121"/>
      <c r="L860" s="121"/>
      <c r="M860" s="121"/>
    </row>
    <row r="861" spans="10:13" s="29" customFormat="1" ht="15" customHeight="1">
      <c r="J861" s="121"/>
      <c r="K861" s="121"/>
      <c r="L861" s="121"/>
      <c r="M861" s="121"/>
    </row>
    <row r="862" spans="10:13" s="29" customFormat="1" ht="15" customHeight="1">
      <c r="J862" s="121"/>
      <c r="K862" s="121"/>
      <c r="L862" s="121"/>
      <c r="M862" s="121"/>
    </row>
    <row r="863" spans="10:13" s="29" customFormat="1" ht="15" customHeight="1">
      <c r="J863" s="121"/>
      <c r="K863" s="121"/>
      <c r="L863" s="121"/>
      <c r="M863" s="121"/>
    </row>
    <row r="864" spans="10:13" s="29" customFormat="1" ht="15" customHeight="1">
      <c r="J864" s="121"/>
      <c r="K864" s="121"/>
      <c r="L864" s="121"/>
      <c r="M864" s="121"/>
    </row>
    <row r="865" spans="10:13" s="29" customFormat="1" ht="15" customHeight="1">
      <c r="J865" s="121"/>
      <c r="K865" s="121"/>
      <c r="L865" s="121"/>
      <c r="M865" s="121"/>
    </row>
    <row r="866" spans="10:13" s="29" customFormat="1" ht="15" customHeight="1">
      <c r="J866" s="121"/>
      <c r="K866" s="121"/>
      <c r="L866" s="121"/>
      <c r="M866" s="121"/>
    </row>
    <row r="867" spans="10:13" s="29" customFormat="1" ht="15" customHeight="1">
      <c r="J867" s="121"/>
      <c r="K867" s="121"/>
      <c r="L867" s="121"/>
      <c r="M867" s="121"/>
    </row>
    <row r="868" spans="10:13" s="29" customFormat="1" ht="15" customHeight="1">
      <c r="J868" s="121"/>
      <c r="K868" s="121"/>
      <c r="L868" s="121"/>
      <c r="M868" s="121"/>
    </row>
    <row r="869" spans="10:13" s="29" customFormat="1" ht="15" customHeight="1">
      <c r="J869" s="121"/>
      <c r="K869" s="121"/>
      <c r="L869" s="121"/>
      <c r="M869" s="121"/>
    </row>
    <row r="870" spans="10:13" s="29" customFormat="1" ht="15" customHeight="1">
      <c r="J870" s="121"/>
      <c r="K870" s="121"/>
      <c r="L870" s="121"/>
      <c r="M870" s="121"/>
    </row>
    <row r="871" spans="10:13" s="29" customFormat="1" ht="15" customHeight="1">
      <c r="J871" s="121"/>
      <c r="K871" s="121"/>
      <c r="L871" s="121"/>
      <c r="M871" s="121"/>
    </row>
    <row r="872" spans="10:13" s="29" customFormat="1" ht="15" customHeight="1">
      <c r="J872" s="121"/>
      <c r="K872" s="121"/>
      <c r="L872" s="121"/>
      <c r="M872" s="121"/>
    </row>
    <row r="873" spans="10:13" s="29" customFormat="1" ht="15" customHeight="1">
      <c r="J873" s="121"/>
      <c r="K873" s="121"/>
      <c r="L873" s="121"/>
      <c r="M873" s="121"/>
    </row>
    <row r="874" spans="10:13" s="29" customFormat="1" ht="15" customHeight="1">
      <c r="J874" s="121"/>
      <c r="K874" s="121"/>
      <c r="L874" s="121"/>
      <c r="M874" s="121"/>
    </row>
    <row r="875" spans="10:13" s="29" customFormat="1" ht="15" customHeight="1">
      <c r="J875" s="121"/>
      <c r="K875" s="121"/>
      <c r="L875" s="121"/>
      <c r="M875" s="121"/>
    </row>
    <row r="876" spans="10:13" s="29" customFormat="1" ht="15" customHeight="1">
      <c r="J876" s="121"/>
      <c r="K876" s="121"/>
      <c r="L876" s="121"/>
      <c r="M876" s="121"/>
    </row>
    <row r="877" spans="10:13" s="29" customFormat="1" ht="15" customHeight="1">
      <c r="J877" s="121"/>
      <c r="K877" s="121"/>
      <c r="L877" s="121"/>
      <c r="M877" s="121"/>
    </row>
    <row r="878" spans="10:13" s="29" customFormat="1" ht="15" customHeight="1">
      <c r="J878" s="121"/>
      <c r="K878" s="121"/>
      <c r="L878" s="121"/>
      <c r="M878" s="121"/>
    </row>
    <row r="879" spans="10:13" s="29" customFormat="1" ht="15" customHeight="1">
      <c r="J879" s="121"/>
      <c r="K879" s="121"/>
      <c r="L879" s="121"/>
      <c r="M879" s="121"/>
    </row>
    <row r="880" spans="10:13" s="29" customFormat="1" ht="15" customHeight="1">
      <c r="J880" s="121"/>
      <c r="K880" s="121"/>
      <c r="L880" s="121"/>
      <c r="M880" s="121"/>
    </row>
    <row r="881" spans="10:13" s="29" customFormat="1" ht="15" customHeight="1">
      <c r="J881" s="121"/>
      <c r="K881" s="121"/>
      <c r="L881" s="121"/>
      <c r="M881" s="121"/>
    </row>
    <row r="882" spans="10:13" s="29" customFormat="1" ht="15" customHeight="1">
      <c r="J882" s="121"/>
      <c r="K882" s="121"/>
      <c r="L882" s="121"/>
      <c r="M882" s="121"/>
    </row>
    <row r="883" spans="10:13" s="29" customFormat="1" ht="15" customHeight="1">
      <c r="J883" s="121"/>
      <c r="K883" s="121"/>
      <c r="L883" s="121"/>
      <c r="M883" s="121"/>
    </row>
    <row r="884" spans="10:13" s="29" customFormat="1" ht="15" customHeight="1">
      <c r="J884" s="121"/>
      <c r="K884" s="121"/>
      <c r="L884" s="121"/>
      <c r="M884" s="121"/>
    </row>
    <row r="885" spans="10:13" s="29" customFormat="1" ht="15" customHeight="1">
      <c r="J885" s="121"/>
      <c r="K885" s="121"/>
      <c r="L885" s="121"/>
      <c r="M885" s="121"/>
    </row>
    <row r="886" spans="10:13" s="29" customFormat="1" ht="15" customHeight="1">
      <c r="J886" s="121"/>
      <c r="K886" s="121"/>
      <c r="L886" s="121"/>
      <c r="M886" s="121"/>
    </row>
    <row r="887" spans="10:13" s="29" customFormat="1" ht="15" customHeight="1">
      <c r="J887" s="121"/>
      <c r="K887" s="121"/>
      <c r="L887" s="121"/>
      <c r="M887" s="121"/>
    </row>
    <row r="888" spans="10:13" s="29" customFormat="1" ht="15" customHeight="1">
      <c r="J888" s="121"/>
      <c r="K888" s="121"/>
      <c r="L888" s="121"/>
      <c r="M888" s="121"/>
    </row>
    <row r="889" spans="10:13" s="29" customFormat="1" ht="15" customHeight="1">
      <c r="J889" s="121"/>
      <c r="K889" s="121"/>
      <c r="L889" s="121"/>
      <c r="M889" s="121"/>
    </row>
    <row r="890" spans="10:13" s="29" customFormat="1" ht="15" customHeight="1">
      <c r="J890" s="121"/>
      <c r="K890" s="121"/>
      <c r="L890" s="121"/>
      <c r="M890" s="121"/>
    </row>
    <row r="891" spans="10:13" s="29" customFormat="1" ht="15" customHeight="1">
      <c r="J891" s="121"/>
      <c r="K891" s="121"/>
      <c r="L891" s="121"/>
      <c r="M891" s="121"/>
    </row>
    <row r="892" spans="10:13" s="29" customFormat="1" ht="15" customHeight="1">
      <c r="J892" s="121"/>
      <c r="K892" s="121"/>
      <c r="L892" s="121"/>
      <c r="M892" s="121"/>
    </row>
    <row r="893" spans="10:13" s="29" customFormat="1" ht="15" customHeight="1">
      <c r="J893" s="121"/>
      <c r="K893" s="121"/>
      <c r="L893" s="121"/>
      <c r="M893" s="121"/>
    </row>
    <row r="894" spans="10:13" s="29" customFormat="1" ht="15" customHeight="1">
      <c r="J894" s="121"/>
      <c r="K894" s="121"/>
      <c r="L894" s="121"/>
      <c r="M894" s="121"/>
    </row>
    <row r="895" spans="10:13" s="29" customFormat="1" ht="15" customHeight="1">
      <c r="J895" s="121"/>
      <c r="K895" s="121"/>
      <c r="L895" s="121"/>
      <c r="M895" s="121"/>
    </row>
    <row r="896" spans="10:13" s="29" customFormat="1" ht="15" customHeight="1">
      <c r="J896" s="121"/>
      <c r="K896" s="121"/>
      <c r="L896" s="121"/>
      <c r="M896" s="121"/>
    </row>
    <row r="897" spans="10:13" s="29" customFormat="1" ht="15" customHeight="1">
      <c r="J897" s="121"/>
      <c r="K897" s="121"/>
      <c r="L897" s="121"/>
      <c r="M897" s="121"/>
    </row>
    <row r="898" spans="10:13" s="29" customFormat="1" ht="15" customHeight="1">
      <c r="J898" s="121"/>
      <c r="K898" s="121"/>
      <c r="L898" s="121"/>
      <c r="M898" s="121"/>
    </row>
    <row r="899" spans="10:13" s="29" customFormat="1" ht="15" customHeight="1">
      <c r="J899" s="121"/>
      <c r="K899" s="121"/>
      <c r="L899" s="121"/>
      <c r="M899" s="121"/>
    </row>
    <row r="900" spans="10:13" s="29" customFormat="1" ht="15" customHeight="1">
      <c r="J900" s="121"/>
      <c r="K900" s="121"/>
      <c r="L900" s="121"/>
      <c r="M900" s="121"/>
    </row>
    <row r="901" spans="10:13" s="29" customFormat="1" ht="15" customHeight="1">
      <c r="J901" s="121"/>
      <c r="K901" s="121"/>
      <c r="L901" s="121"/>
      <c r="M901" s="121"/>
    </row>
    <row r="902" spans="10:13" s="29" customFormat="1" ht="15" customHeight="1">
      <c r="J902" s="121"/>
      <c r="K902" s="121"/>
      <c r="L902" s="121"/>
      <c r="M902" s="121"/>
    </row>
    <row r="903" spans="10:13" s="29" customFormat="1" ht="15" customHeight="1">
      <c r="J903" s="121"/>
      <c r="K903" s="121"/>
      <c r="L903" s="121"/>
      <c r="M903" s="121"/>
    </row>
    <row r="904" spans="10:13" s="29" customFormat="1" ht="15" customHeight="1">
      <c r="J904" s="121"/>
      <c r="K904" s="121"/>
      <c r="L904" s="121"/>
      <c r="M904" s="121"/>
    </row>
    <row r="905" spans="10:13" s="29" customFormat="1" ht="15" customHeight="1">
      <c r="J905" s="121"/>
      <c r="K905" s="121"/>
      <c r="L905" s="121"/>
      <c r="M905" s="121"/>
    </row>
    <row r="906" spans="10:13" s="29" customFormat="1" ht="15" customHeight="1">
      <c r="J906" s="121"/>
      <c r="K906" s="121"/>
      <c r="L906" s="121"/>
      <c r="M906" s="121"/>
    </row>
    <row r="907" spans="10:13" s="29" customFormat="1" ht="15" customHeight="1">
      <c r="J907" s="121"/>
      <c r="K907" s="121"/>
      <c r="L907" s="121"/>
      <c r="M907" s="121"/>
    </row>
    <row r="908" spans="10:13" s="29" customFormat="1" ht="15" customHeight="1">
      <c r="J908" s="121"/>
      <c r="K908" s="121"/>
      <c r="L908" s="121"/>
      <c r="M908" s="121"/>
    </row>
    <row r="909" spans="10:13" s="29" customFormat="1" ht="15" customHeight="1">
      <c r="J909" s="121"/>
      <c r="K909" s="121"/>
      <c r="L909" s="121"/>
      <c r="M909" s="121"/>
    </row>
    <row r="910" spans="10:13" s="29" customFormat="1" ht="15" customHeight="1">
      <c r="J910" s="121"/>
      <c r="K910" s="121"/>
      <c r="L910" s="121"/>
      <c r="M910" s="121"/>
    </row>
    <row r="911" spans="10:13" s="29" customFormat="1" ht="15" customHeight="1">
      <c r="J911" s="121"/>
      <c r="K911" s="121"/>
      <c r="L911" s="121"/>
      <c r="M911" s="121"/>
    </row>
    <row r="912" spans="10:13" s="29" customFormat="1" ht="15" customHeight="1">
      <c r="J912" s="121"/>
      <c r="K912" s="121"/>
      <c r="L912" s="121"/>
      <c r="M912" s="121"/>
    </row>
    <row r="913" spans="10:13" s="29" customFormat="1" ht="15" customHeight="1">
      <c r="J913" s="121"/>
      <c r="K913" s="121"/>
      <c r="L913" s="121"/>
      <c r="M913" s="121"/>
    </row>
    <row r="914" spans="10:13" s="29" customFormat="1" ht="15" customHeight="1">
      <c r="J914" s="121"/>
      <c r="K914" s="121"/>
      <c r="L914" s="121"/>
      <c r="M914" s="121"/>
    </row>
    <row r="915" spans="10:13" s="29" customFormat="1" ht="15" customHeight="1">
      <c r="J915" s="121"/>
      <c r="K915" s="121"/>
      <c r="L915" s="121"/>
      <c r="M915" s="121"/>
    </row>
    <row r="916" spans="10:13" s="29" customFormat="1" ht="15" customHeight="1">
      <c r="J916" s="121"/>
      <c r="K916" s="121"/>
      <c r="L916" s="121"/>
      <c r="M916" s="121"/>
    </row>
    <row r="917" spans="10:13" s="29" customFormat="1" ht="15" customHeight="1">
      <c r="J917" s="121"/>
      <c r="K917" s="121"/>
      <c r="L917" s="121"/>
      <c r="M917" s="121"/>
    </row>
    <row r="918" spans="10:13" s="29" customFormat="1" ht="15" customHeight="1">
      <c r="J918" s="121"/>
      <c r="K918" s="121"/>
      <c r="L918" s="121"/>
      <c r="M918" s="121"/>
    </row>
    <row r="919" spans="10:13" s="29" customFormat="1" ht="15" customHeight="1">
      <c r="J919" s="121"/>
      <c r="K919" s="121"/>
      <c r="L919" s="121"/>
      <c r="M919" s="121"/>
    </row>
    <row r="920" spans="10:13" s="29" customFormat="1" ht="15" customHeight="1">
      <c r="J920" s="121"/>
      <c r="K920" s="121"/>
      <c r="L920" s="121"/>
      <c r="M920" s="121"/>
    </row>
    <row r="921" spans="10:13" s="29" customFormat="1" ht="15" customHeight="1">
      <c r="J921" s="121"/>
      <c r="K921" s="121"/>
      <c r="L921" s="121"/>
      <c r="M921" s="121"/>
    </row>
    <row r="922" spans="10:13" s="29" customFormat="1" ht="15" customHeight="1">
      <c r="J922" s="121"/>
      <c r="K922" s="121"/>
      <c r="L922" s="121"/>
      <c r="M922" s="121"/>
    </row>
    <row r="923" spans="10:13" s="29" customFormat="1" ht="15" customHeight="1">
      <c r="J923" s="121"/>
      <c r="K923" s="121"/>
      <c r="L923" s="121"/>
      <c r="M923" s="121"/>
    </row>
    <row r="924" spans="10:13" s="29" customFormat="1" ht="15" customHeight="1">
      <c r="J924" s="121"/>
      <c r="K924" s="121"/>
      <c r="L924" s="121"/>
      <c r="M924" s="121"/>
    </row>
    <row r="925" spans="10:13" s="29" customFormat="1" ht="15" customHeight="1">
      <c r="J925" s="121"/>
      <c r="K925" s="121"/>
      <c r="L925" s="121"/>
      <c r="M925" s="121"/>
    </row>
    <row r="926" spans="10:13" s="29" customFormat="1" ht="15" customHeight="1">
      <c r="J926" s="121"/>
      <c r="K926" s="121"/>
      <c r="L926" s="121"/>
      <c r="M926" s="121"/>
    </row>
    <row r="927" spans="10:13" s="29" customFormat="1" ht="15" customHeight="1">
      <c r="J927" s="121"/>
      <c r="K927" s="121"/>
      <c r="L927" s="121"/>
      <c r="M927" s="121"/>
    </row>
    <row r="928" spans="10:13" s="29" customFormat="1" ht="15" customHeight="1">
      <c r="J928" s="121"/>
      <c r="K928" s="121"/>
      <c r="L928" s="121"/>
      <c r="M928" s="121"/>
    </row>
    <row r="929" spans="10:13" s="29" customFormat="1" ht="15" customHeight="1">
      <c r="J929" s="121"/>
      <c r="K929" s="121"/>
      <c r="L929" s="121"/>
      <c r="M929" s="121"/>
    </row>
    <row r="930" spans="10:13" s="29" customFormat="1" ht="15" customHeight="1">
      <c r="J930" s="121"/>
      <c r="K930" s="121"/>
      <c r="L930" s="121"/>
      <c r="M930" s="121"/>
    </row>
    <row r="931" spans="10:13" s="29" customFormat="1" ht="15" customHeight="1">
      <c r="J931" s="121"/>
      <c r="K931" s="121"/>
      <c r="L931" s="121"/>
      <c r="M931" s="121"/>
    </row>
    <row r="932" spans="10:13" s="29" customFormat="1" ht="15" customHeight="1">
      <c r="J932" s="121"/>
      <c r="K932" s="121"/>
      <c r="L932" s="121"/>
      <c r="M932" s="121"/>
    </row>
    <row r="933" spans="10:13" s="29" customFormat="1" ht="15" customHeight="1">
      <c r="J933" s="121"/>
      <c r="K933" s="121"/>
      <c r="L933" s="121"/>
      <c r="M933" s="121"/>
    </row>
    <row r="934" spans="10:13" s="29" customFormat="1" ht="15" customHeight="1">
      <c r="J934" s="121"/>
      <c r="K934" s="121"/>
      <c r="L934" s="121"/>
      <c r="M934" s="121"/>
    </row>
    <row r="935" spans="10:13" s="29" customFormat="1" ht="15" customHeight="1">
      <c r="J935" s="121"/>
      <c r="K935" s="121"/>
      <c r="L935" s="121"/>
      <c r="M935" s="121"/>
    </row>
    <row r="936" spans="10:13" s="29" customFormat="1" ht="15" customHeight="1">
      <c r="J936" s="121"/>
      <c r="K936" s="121"/>
      <c r="L936" s="121"/>
      <c r="M936" s="121"/>
    </row>
    <row r="937" spans="10:13" s="29" customFormat="1" ht="15" customHeight="1">
      <c r="J937" s="121"/>
      <c r="K937" s="121"/>
      <c r="L937" s="121"/>
      <c r="M937" s="121"/>
    </row>
    <row r="938" spans="10:13" s="29" customFormat="1" ht="15" customHeight="1">
      <c r="J938" s="121"/>
      <c r="K938" s="121"/>
      <c r="L938" s="121"/>
      <c r="M938" s="121"/>
    </row>
    <row r="939" spans="10:13" s="29" customFormat="1" ht="15" customHeight="1">
      <c r="J939" s="121"/>
      <c r="K939" s="121"/>
      <c r="L939" s="121"/>
      <c r="M939" s="121"/>
    </row>
    <row r="940" spans="10:13" s="29" customFormat="1" ht="15" customHeight="1">
      <c r="J940" s="121"/>
      <c r="K940" s="121"/>
      <c r="L940" s="121"/>
      <c r="M940" s="121"/>
    </row>
    <row r="941" spans="10:13" s="29" customFormat="1" ht="15" customHeight="1">
      <c r="J941" s="121"/>
      <c r="K941" s="121"/>
      <c r="L941" s="121"/>
      <c r="M941" s="121"/>
    </row>
    <row r="942" spans="10:13" s="29" customFormat="1" ht="15" customHeight="1">
      <c r="J942" s="121"/>
      <c r="K942" s="121"/>
      <c r="L942" s="121"/>
      <c r="M942" s="121"/>
    </row>
    <row r="943" spans="10:13" s="29" customFormat="1" ht="15" customHeight="1">
      <c r="J943" s="121"/>
      <c r="K943" s="121"/>
      <c r="L943" s="121"/>
      <c r="M943" s="121"/>
    </row>
    <row r="944" spans="10:13" s="29" customFormat="1" ht="15" customHeight="1">
      <c r="J944" s="121"/>
      <c r="K944" s="121"/>
      <c r="L944" s="121"/>
      <c r="M944" s="121"/>
    </row>
    <row r="945" spans="10:13" s="29" customFormat="1" ht="15" customHeight="1">
      <c r="J945" s="121"/>
      <c r="K945" s="121"/>
      <c r="L945" s="121"/>
      <c r="M945" s="121"/>
    </row>
    <row r="946" spans="10:13" s="29" customFormat="1" ht="15" customHeight="1">
      <c r="J946" s="121"/>
      <c r="K946" s="121"/>
      <c r="L946" s="121"/>
      <c r="M946" s="121"/>
    </row>
    <row r="947" spans="10:13" s="29" customFormat="1" ht="15" customHeight="1">
      <c r="J947" s="121"/>
      <c r="K947" s="121"/>
      <c r="L947" s="121"/>
      <c r="M947" s="121"/>
    </row>
    <row r="948" spans="10:13" s="29" customFormat="1" ht="15" customHeight="1">
      <c r="J948" s="121"/>
      <c r="K948" s="121"/>
      <c r="L948" s="121"/>
      <c r="M948" s="121"/>
    </row>
    <row r="949" spans="10:13" s="29" customFormat="1" ht="15" customHeight="1">
      <c r="J949" s="121"/>
      <c r="K949" s="121"/>
      <c r="L949" s="121"/>
      <c r="M949" s="121"/>
    </row>
    <row r="950" spans="10:13" s="29" customFormat="1" ht="15" customHeight="1">
      <c r="J950" s="121"/>
      <c r="K950" s="121"/>
      <c r="L950" s="121"/>
      <c r="M950" s="121"/>
    </row>
    <row r="951" spans="10:13" s="29" customFormat="1" ht="15" customHeight="1">
      <c r="J951" s="121"/>
      <c r="K951" s="121"/>
      <c r="L951" s="121"/>
      <c r="M951" s="121"/>
    </row>
    <row r="952" spans="10:13" s="29" customFormat="1" ht="15" customHeight="1">
      <c r="J952" s="121"/>
      <c r="K952" s="121"/>
      <c r="L952" s="121"/>
      <c r="M952" s="121"/>
    </row>
    <row r="953" spans="10:13" s="29" customFormat="1" ht="15" customHeight="1">
      <c r="J953" s="121"/>
      <c r="K953" s="121"/>
      <c r="L953" s="121"/>
      <c r="M953" s="121"/>
    </row>
    <row r="954" spans="10:13" s="29" customFormat="1" ht="15" customHeight="1">
      <c r="J954" s="121"/>
      <c r="K954" s="121"/>
      <c r="L954" s="121"/>
      <c r="M954" s="121"/>
    </row>
    <row r="955" spans="10:13" s="29" customFormat="1" ht="15" customHeight="1">
      <c r="J955" s="121"/>
      <c r="K955" s="121"/>
      <c r="L955" s="121"/>
      <c r="M955" s="121"/>
    </row>
    <row r="956" spans="10:13" s="29" customFormat="1" ht="15" customHeight="1">
      <c r="J956" s="121"/>
      <c r="K956" s="121"/>
      <c r="L956" s="121"/>
      <c r="M956" s="121"/>
    </row>
    <row r="957" spans="10:13" s="29" customFormat="1" ht="15" customHeight="1">
      <c r="J957" s="121"/>
      <c r="K957" s="121"/>
      <c r="L957" s="121"/>
      <c r="M957" s="121"/>
    </row>
    <row r="958" spans="10:13" s="29" customFormat="1" ht="15" customHeight="1">
      <c r="J958" s="121"/>
      <c r="K958" s="121"/>
      <c r="L958" s="121"/>
      <c r="M958" s="121"/>
    </row>
    <row r="959" spans="10:13" s="29" customFormat="1" ht="15" customHeight="1">
      <c r="J959" s="121"/>
      <c r="K959" s="121"/>
      <c r="L959" s="121"/>
      <c r="M959" s="121"/>
    </row>
    <row r="960" spans="10:13" s="29" customFormat="1" ht="15" customHeight="1">
      <c r="J960" s="121"/>
      <c r="K960" s="121"/>
      <c r="L960" s="121"/>
      <c r="M960" s="121"/>
    </row>
    <row r="961" spans="10:13" s="29" customFormat="1" ht="15" customHeight="1">
      <c r="J961" s="121"/>
      <c r="K961" s="121"/>
      <c r="L961" s="121"/>
      <c r="M961" s="121"/>
    </row>
    <row r="962" spans="10:13" s="29" customFormat="1" ht="15" customHeight="1">
      <c r="J962" s="121"/>
      <c r="K962" s="121"/>
      <c r="L962" s="121"/>
      <c r="M962" s="121"/>
    </row>
    <row r="963" spans="10:13" s="29" customFormat="1" ht="15" customHeight="1">
      <c r="J963" s="121"/>
      <c r="K963" s="121"/>
      <c r="L963" s="121"/>
      <c r="M963" s="121"/>
    </row>
    <row r="964" spans="10:13" s="29" customFormat="1" ht="15" customHeight="1">
      <c r="J964" s="121"/>
      <c r="K964" s="121"/>
      <c r="L964" s="121"/>
      <c r="M964" s="121"/>
    </row>
    <row r="965" spans="10:13" s="29" customFormat="1" ht="15" customHeight="1">
      <c r="J965" s="121"/>
      <c r="K965" s="121"/>
      <c r="L965" s="121"/>
      <c r="M965" s="121"/>
    </row>
    <row r="966" spans="10:13" s="29" customFormat="1" ht="15" customHeight="1">
      <c r="J966" s="121"/>
      <c r="K966" s="121"/>
      <c r="L966" s="121"/>
      <c r="M966" s="121"/>
    </row>
    <row r="967" spans="10:13" s="29" customFormat="1" ht="15" customHeight="1">
      <c r="J967" s="121"/>
      <c r="K967" s="121"/>
      <c r="L967" s="121"/>
      <c r="M967" s="121"/>
    </row>
    <row r="968" spans="10:13" s="29" customFormat="1" ht="15" customHeight="1">
      <c r="J968" s="121"/>
      <c r="K968" s="121"/>
      <c r="L968" s="121"/>
      <c r="M968" s="121"/>
    </row>
    <row r="969" spans="10:13" s="29" customFormat="1" ht="15" customHeight="1">
      <c r="J969" s="121"/>
      <c r="K969" s="121"/>
      <c r="L969" s="121"/>
      <c r="M969" s="121"/>
    </row>
    <row r="970" spans="10:13" s="29" customFormat="1" ht="15" customHeight="1">
      <c r="J970" s="121"/>
      <c r="K970" s="121"/>
      <c r="L970" s="121"/>
      <c r="M970" s="121"/>
    </row>
    <row r="971" spans="10:13" s="29" customFormat="1" ht="15" customHeight="1">
      <c r="J971" s="121"/>
      <c r="K971" s="121"/>
      <c r="L971" s="121"/>
      <c r="M971" s="121"/>
    </row>
    <row r="972" spans="10:13" s="29" customFormat="1" ht="15" customHeight="1">
      <c r="J972" s="121"/>
      <c r="K972" s="121"/>
      <c r="L972" s="121"/>
      <c r="M972" s="121"/>
    </row>
    <row r="973" spans="10:13" s="29" customFormat="1" ht="15" customHeight="1">
      <c r="J973" s="121"/>
      <c r="K973" s="121"/>
      <c r="L973" s="121"/>
      <c r="M973" s="121"/>
    </row>
    <row r="974" spans="10:13" s="29" customFormat="1" ht="15" customHeight="1">
      <c r="J974" s="121"/>
      <c r="K974" s="121"/>
      <c r="L974" s="121"/>
      <c r="M974" s="121"/>
    </row>
    <row r="975" spans="10:13" s="29" customFormat="1" ht="15" customHeight="1">
      <c r="J975" s="121"/>
      <c r="K975" s="121"/>
      <c r="L975" s="121"/>
      <c r="M975" s="121"/>
    </row>
    <row r="976" spans="10:13" s="29" customFormat="1" ht="15" customHeight="1">
      <c r="J976" s="121"/>
      <c r="K976" s="121"/>
      <c r="L976" s="121"/>
      <c r="M976" s="121"/>
    </row>
    <row r="977" spans="10:13" s="29" customFormat="1" ht="15" customHeight="1">
      <c r="J977" s="121"/>
      <c r="K977" s="121"/>
      <c r="L977" s="121"/>
      <c r="M977" s="121"/>
    </row>
    <row r="978" spans="10:13" s="29" customFormat="1" ht="15" customHeight="1">
      <c r="J978" s="121"/>
      <c r="K978" s="121"/>
      <c r="L978" s="121"/>
      <c r="M978" s="121"/>
    </row>
    <row r="979" spans="10:13" s="29" customFormat="1" ht="15" customHeight="1">
      <c r="J979" s="121"/>
      <c r="K979" s="121"/>
      <c r="L979" s="121"/>
      <c r="M979" s="121"/>
    </row>
    <row r="980" spans="10:13" s="29" customFormat="1" ht="15" customHeight="1">
      <c r="J980" s="121"/>
      <c r="K980" s="121"/>
      <c r="L980" s="121"/>
      <c r="M980" s="121"/>
    </row>
    <row r="981" spans="10:13" s="29" customFormat="1" ht="15" customHeight="1">
      <c r="J981" s="121"/>
      <c r="K981" s="121"/>
      <c r="L981" s="121"/>
      <c r="M981" s="121"/>
    </row>
    <row r="982" spans="10:13" s="29" customFormat="1" ht="15" customHeight="1">
      <c r="J982" s="121"/>
      <c r="K982" s="121"/>
      <c r="L982" s="121"/>
      <c r="M982" s="121"/>
    </row>
    <row r="983" spans="10:13" s="29" customFormat="1" ht="15" customHeight="1">
      <c r="J983" s="121"/>
      <c r="K983" s="121"/>
      <c r="L983" s="121"/>
      <c r="M983" s="121"/>
    </row>
    <row r="984" spans="10:13" s="29" customFormat="1" ht="15" customHeight="1">
      <c r="J984" s="121"/>
      <c r="K984" s="121"/>
      <c r="L984" s="121"/>
      <c r="M984" s="121"/>
    </row>
    <row r="985" spans="10:13" s="29" customFormat="1" ht="15" customHeight="1">
      <c r="J985" s="121"/>
      <c r="K985" s="121"/>
      <c r="L985" s="121"/>
      <c r="M985" s="121"/>
    </row>
    <row r="986" spans="10:13" s="29" customFormat="1" ht="15" customHeight="1">
      <c r="J986" s="121"/>
      <c r="K986" s="121"/>
      <c r="L986" s="121"/>
      <c r="M986" s="121"/>
    </row>
    <row r="987" spans="10:13" s="29" customFormat="1" ht="15" customHeight="1">
      <c r="J987" s="121"/>
      <c r="K987" s="121"/>
      <c r="L987" s="121"/>
      <c r="M987" s="121"/>
    </row>
    <row r="988" spans="10:13" s="29" customFormat="1" ht="15" customHeight="1">
      <c r="J988" s="121"/>
      <c r="K988" s="121"/>
      <c r="L988" s="121"/>
      <c r="M988" s="121"/>
    </row>
    <row r="989" spans="10:13" s="29" customFormat="1" ht="15" customHeight="1">
      <c r="J989" s="121"/>
      <c r="K989" s="121"/>
      <c r="L989" s="121"/>
      <c r="M989" s="121"/>
    </row>
    <row r="990" spans="10:13" s="29" customFormat="1" ht="15" customHeight="1">
      <c r="J990" s="121"/>
      <c r="K990" s="121"/>
      <c r="L990" s="121"/>
      <c r="M990" s="121"/>
    </row>
    <row r="991" spans="10:13" s="29" customFormat="1" ht="15" customHeight="1">
      <c r="J991" s="121"/>
      <c r="K991" s="121"/>
      <c r="L991" s="121"/>
      <c r="M991" s="121"/>
    </row>
    <row r="992" spans="10:13" s="29" customFormat="1" ht="15" customHeight="1">
      <c r="J992" s="121"/>
      <c r="K992" s="121"/>
      <c r="L992" s="121"/>
      <c r="M992" s="121"/>
    </row>
    <row r="993" spans="10:13" s="29" customFormat="1" ht="15" customHeight="1">
      <c r="J993" s="121"/>
      <c r="K993" s="121"/>
      <c r="L993" s="121"/>
      <c r="M993" s="121"/>
    </row>
    <row r="994" spans="10:13" s="29" customFormat="1" ht="15" customHeight="1">
      <c r="J994" s="121"/>
      <c r="K994" s="121"/>
      <c r="L994" s="121"/>
      <c r="M994" s="121"/>
    </row>
    <row r="995" spans="10:13" s="29" customFormat="1" ht="15" customHeight="1">
      <c r="J995" s="121"/>
      <c r="K995" s="121"/>
      <c r="L995" s="121"/>
      <c r="M995" s="121"/>
    </row>
    <row r="996" spans="10:13" s="29" customFormat="1" ht="15" customHeight="1">
      <c r="J996" s="121"/>
      <c r="K996" s="121"/>
      <c r="L996" s="121"/>
      <c r="M996" s="121"/>
    </row>
    <row r="997" spans="10:13" s="29" customFormat="1" ht="15" customHeight="1">
      <c r="J997" s="121"/>
      <c r="K997" s="121"/>
      <c r="L997" s="121"/>
      <c r="M997" s="121"/>
    </row>
    <row r="998" spans="10:13" s="29" customFormat="1" ht="15" customHeight="1">
      <c r="J998" s="121"/>
      <c r="K998" s="121"/>
      <c r="L998" s="121"/>
      <c r="M998" s="121"/>
    </row>
    <row r="999" spans="10:13" s="29" customFormat="1" ht="15" customHeight="1">
      <c r="J999" s="121"/>
      <c r="K999" s="121"/>
      <c r="L999" s="121"/>
      <c r="M999" s="121"/>
    </row>
    <row r="1000" spans="10:13" s="29" customFormat="1" ht="15" customHeight="1">
      <c r="J1000" s="121"/>
      <c r="K1000" s="121"/>
      <c r="L1000" s="121"/>
      <c r="M1000" s="121"/>
    </row>
    <row r="1001" spans="10:13" s="29" customFormat="1" ht="15" customHeight="1">
      <c r="J1001" s="121"/>
      <c r="K1001" s="121"/>
      <c r="L1001" s="121"/>
      <c r="M1001" s="121"/>
    </row>
    <row r="1002" spans="10:13" s="29" customFormat="1" ht="15" customHeight="1">
      <c r="J1002" s="121"/>
      <c r="K1002" s="121"/>
      <c r="L1002" s="121"/>
      <c r="M1002" s="121"/>
    </row>
    <row r="1003" spans="10:13" s="29" customFormat="1" ht="15" customHeight="1">
      <c r="J1003" s="121"/>
      <c r="K1003" s="121"/>
      <c r="L1003" s="121"/>
      <c r="M1003" s="121"/>
    </row>
    <row r="1004" spans="10:13" s="29" customFormat="1" ht="15" customHeight="1">
      <c r="J1004" s="121"/>
      <c r="K1004" s="121"/>
      <c r="L1004" s="121"/>
      <c r="M1004" s="121"/>
    </row>
    <row r="1005" spans="10:13" s="29" customFormat="1" ht="15" customHeight="1">
      <c r="J1005" s="121"/>
      <c r="K1005" s="121"/>
      <c r="L1005" s="121"/>
      <c r="M1005" s="121"/>
    </row>
    <row r="1006" spans="10:13" s="29" customFormat="1" ht="15" customHeight="1">
      <c r="J1006" s="121"/>
      <c r="K1006" s="121"/>
      <c r="L1006" s="121"/>
      <c r="M1006" s="121"/>
    </row>
    <row r="1007" spans="10:13" s="29" customFormat="1" ht="15" customHeight="1">
      <c r="J1007" s="121"/>
      <c r="K1007" s="121"/>
      <c r="L1007" s="121"/>
      <c r="M1007" s="121"/>
    </row>
    <row r="1008" spans="10:13" s="29" customFormat="1" ht="15" customHeight="1">
      <c r="J1008" s="121"/>
      <c r="K1008" s="121"/>
      <c r="L1008" s="121"/>
      <c r="M1008" s="121"/>
    </row>
    <row r="1009" spans="10:13" s="29" customFormat="1" ht="15" customHeight="1">
      <c r="J1009" s="121"/>
      <c r="K1009" s="121"/>
      <c r="L1009" s="121"/>
      <c r="M1009" s="121"/>
    </row>
    <row r="1010" spans="10:13" s="29" customFormat="1" ht="15" customHeight="1">
      <c r="J1010" s="121"/>
      <c r="K1010" s="121"/>
      <c r="L1010" s="121"/>
      <c r="M1010" s="121"/>
    </row>
    <row r="1011" spans="10:13" s="29" customFormat="1" ht="15" customHeight="1">
      <c r="J1011" s="121"/>
      <c r="K1011" s="121"/>
      <c r="L1011" s="121"/>
      <c r="M1011" s="121"/>
    </row>
    <row r="1012" spans="10:13" s="29" customFormat="1" ht="15" customHeight="1">
      <c r="J1012" s="121"/>
      <c r="K1012" s="121"/>
      <c r="L1012" s="121"/>
      <c r="M1012" s="121"/>
    </row>
    <row r="1013" spans="10:13" s="29" customFormat="1" ht="15" customHeight="1">
      <c r="J1013" s="121"/>
      <c r="K1013" s="121"/>
      <c r="L1013" s="121"/>
      <c r="M1013" s="121"/>
    </row>
    <row r="1014" spans="10:13" s="29" customFormat="1" ht="15" customHeight="1">
      <c r="J1014" s="121"/>
      <c r="K1014" s="121"/>
      <c r="L1014" s="121"/>
      <c r="M1014" s="121"/>
    </row>
    <row r="1015" spans="10:13" s="29" customFormat="1" ht="15" customHeight="1">
      <c r="J1015" s="121"/>
      <c r="K1015" s="121"/>
      <c r="L1015" s="121"/>
      <c r="M1015" s="121"/>
    </row>
    <row r="1016" spans="10:13" s="29" customFormat="1" ht="15" customHeight="1">
      <c r="J1016" s="121"/>
      <c r="K1016" s="121"/>
      <c r="L1016" s="121"/>
      <c r="M1016" s="121"/>
    </row>
    <row r="1017" spans="10:13" s="29" customFormat="1" ht="15" customHeight="1">
      <c r="J1017" s="121"/>
      <c r="K1017" s="121"/>
      <c r="L1017" s="121"/>
      <c r="M1017" s="121"/>
    </row>
    <row r="1018" spans="10:13" s="29" customFormat="1" ht="15" customHeight="1">
      <c r="J1018" s="121"/>
      <c r="K1018" s="121"/>
      <c r="L1018" s="121"/>
      <c r="M1018" s="121"/>
    </row>
    <row r="1019" spans="10:13" s="29" customFormat="1" ht="15" customHeight="1">
      <c r="J1019" s="121"/>
      <c r="K1019" s="121"/>
      <c r="L1019" s="121"/>
      <c r="M1019" s="121"/>
    </row>
    <row r="1020" spans="10:13" s="29" customFormat="1" ht="15" customHeight="1">
      <c r="J1020" s="121"/>
      <c r="K1020" s="121"/>
      <c r="L1020" s="121"/>
      <c r="M1020" s="121"/>
    </row>
    <row r="1021" spans="10:13" s="29" customFormat="1" ht="15" customHeight="1">
      <c r="J1021" s="121"/>
      <c r="K1021" s="121"/>
      <c r="L1021" s="121"/>
      <c r="M1021" s="121"/>
    </row>
    <row r="1022" spans="10:13" s="29" customFormat="1" ht="15" customHeight="1">
      <c r="J1022" s="121"/>
      <c r="K1022" s="121"/>
      <c r="L1022" s="121"/>
      <c r="M1022" s="121"/>
    </row>
    <row r="1023" spans="10:13" s="29" customFormat="1" ht="15" customHeight="1">
      <c r="J1023" s="121"/>
      <c r="K1023" s="121"/>
      <c r="L1023" s="121"/>
      <c r="M1023" s="121"/>
    </row>
    <row r="1024" spans="10:13" s="29" customFormat="1" ht="15" customHeight="1">
      <c r="J1024" s="121"/>
      <c r="K1024" s="121"/>
      <c r="L1024" s="121"/>
      <c r="M1024" s="121"/>
    </row>
    <row r="1025" spans="10:13" s="29" customFormat="1" ht="15" customHeight="1">
      <c r="J1025" s="121"/>
      <c r="K1025" s="121"/>
      <c r="L1025" s="121"/>
      <c r="M1025" s="121"/>
    </row>
    <row r="1026" spans="10:13" s="29" customFormat="1" ht="15" customHeight="1">
      <c r="J1026" s="121"/>
      <c r="K1026" s="121"/>
      <c r="L1026" s="121"/>
      <c r="M1026" s="121"/>
    </row>
    <row r="1027" spans="10:13" s="29" customFormat="1" ht="15" customHeight="1">
      <c r="J1027" s="121"/>
      <c r="K1027" s="121"/>
      <c r="L1027" s="121"/>
      <c r="M1027" s="121"/>
    </row>
    <row r="1028" spans="10:13" s="29" customFormat="1" ht="15" customHeight="1">
      <c r="J1028" s="121"/>
      <c r="K1028" s="121"/>
      <c r="L1028" s="121"/>
      <c r="M1028" s="121"/>
    </row>
    <row r="1029" spans="10:13" s="29" customFormat="1" ht="15" customHeight="1">
      <c r="J1029" s="121"/>
      <c r="K1029" s="121"/>
      <c r="L1029" s="121"/>
      <c r="M1029" s="121"/>
    </row>
    <row r="1030" spans="10:13" s="29" customFormat="1" ht="15" customHeight="1">
      <c r="J1030" s="121"/>
      <c r="K1030" s="121"/>
      <c r="L1030" s="121"/>
      <c r="M1030" s="121"/>
    </row>
    <row r="1031" spans="10:13" s="29" customFormat="1" ht="15" customHeight="1">
      <c r="J1031" s="121"/>
      <c r="K1031" s="121"/>
      <c r="L1031" s="121"/>
      <c r="M1031" s="121"/>
    </row>
    <row r="1032" spans="10:13" s="29" customFormat="1" ht="15" customHeight="1">
      <c r="J1032" s="121"/>
      <c r="K1032" s="121"/>
      <c r="L1032" s="121"/>
      <c r="M1032" s="121"/>
    </row>
    <row r="1033" spans="10:13" s="29" customFormat="1" ht="15" customHeight="1">
      <c r="J1033" s="121"/>
      <c r="K1033" s="121"/>
      <c r="L1033" s="121"/>
      <c r="M1033" s="121"/>
    </row>
    <row r="1034" spans="10:13" s="29" customFormat="1" ht="15" customHeight="1">
      <c r="J1034" s="121"/>
      <c r="K1034" s="121"/>
      <c r="L1034" s="121"/>
      <c r="M1034" s="121"/>
    </row>
    <row r="1035" spans="10:13" s="29" customFormat="1" ht="15" customHeight="1">
      <c r="J1035" s="121"/>
      <c r="K1035" s="121"/>
      <c r="L1035" s="121"/>
      <c r="M1035" s="121"/>
    </row>
    <row r="1036" spans="10:13" s="29" customFormat="1" ht="15" customHeight="1">
      <c r="J1036" s="121"/>
      <c r="K1036" s="121"/>
      <c r="L1036" s="121"/>
      <c r="M1036" s="121"/>
    </row>
    <row r="1037" spans="10:13" s="29" customFormat="1" ht="15" customHeight="1">
      <c r="J1037" s="121"/>
      <c r="K1037" s="121"/>
      <c r="L1037" s="121"/>
      <c r="M1037" s="121"/>
    </row>
    <row r="1038" spans="10:13" s="29" customFormat="1" ht="15" customHeight="1">
      <c r="J1038" s="121"/>
      <c r="K1038" s="121"/>
      <c r="L1038" s="121"/>
      <c r="M1038" s="121"/>
    </row>
    <row r="1039" spans="10:13" s="29" customFormat="1" ht="15" customHeight="1">
      <c r="J1039" s="121"/>
      <c r="K1039" s="121"/>
      <c r="L1039" s="121"/>
      <c r="M1039" s="121"/>
    </row>
    <row r="1040" spans="10:13" s="29" customFormat="1" ht="15" customHeight="1">
      <c r="J1040" s="121"/>
      <c r="K1040" s="121"/>
      <c r="L1040" s="121"/>
      <c r="M1040" s="121"/>
    </row>
    <row r="1041" spans="10:13" s="29" customFormat="1" ht="15" customHeight="1">
      <c r="J1041" s="121"/>
      <c r="K1041" s="121"/>
      <c r="L1041" s="121"/>
      <c r="M1041" s="121"/>
    </row>
    <row r="1042" spans="10:13" s="29" customFormat="1" ht="15" customHeight="1">
      <c r="J1042" s="121"/>
      <c r="K1042" s="121"/>
      <c r="L1042" s="121"/>
      <c r="M1042" s="121"/>
    </row>
    <row r="1043" spans="10:13" s="29" customFormat="1" ht="15" customHeight="1">
      <c r="J1043" s="121"/>
      <c r="K1043" s="121"/>
      <c r="L1043" s="121"/>
      <c r="M1043" s="121"/>
    </row>
    <row r="1044" spans="10:13" s="29" customFormat="1" ht="15" customHeight="1">
      <c r="J1044" s="121"/>
      <c r="K1044" s="121"/>
      <c r="L1044" s="121"/>
      <c r="M1044" s="121"/>
    </row>
    <row r="1045" spans="10:13" s="29" customFormat="1" ht="15" customHeight="1">
      <c r="J1045" s="121"/>
      <c r="K1045" s="121"/>
      <c r="L1045" s="121"/>
      <c r="M1045" s="121"/>
    </row>
    <row r="1046" spans="10:13" s="29" customFormat="1" ht="15" customHeight="1">
      <c r="J1046" s="121"/>
      <c r="K1046" s="121"/>
      <c r="L1046" s="121"/>
      <c r="M1046" s="121"/>
    </row>
    <row r="1047" spans="10:13" s="29" customFormat="1" ht="15" customHeight="1">
      <c r="J1047" s="121"/>
      <c r="K1047" s="121"/>
      <c r="L1047" s="121"/>
      <c r="M1047" s="121"/>
    </row>
    <row r="1048" spans="10:13" s="29" customFormat="1" ht="15" customHeight="1">
      <c r="J1048" s="121"/>
      <c r="K1048" s="121"/>
      <c r="L1048" s="121"/>
      <c r="M1048" s="121"/>
    </row>
    <row r="1049" spans="10:13" s="29" customFormat="1" ht="15" customHeight="1">
      <c r="J1049" s="121"/>
      <c r="K1049" s="121"/>
      <c r="L1049" s="121"/>
      <c r="M1049" s="121"/>
    </row>
    <row r="1050" spans="10:13" s="29" customFormat="1" ht="15" customHeight="1">
      <c r="J1050" s="121"/>
      <c r="K1050" s="121"/>
      <c r="L1050" s="121"/>
      <c r="M1050" s="121"/>
    </row>
    <row r="1051" spans="10:13" s="29" customFormat="1" ht="15" customHeight="1">
      <c r="J1051" s="121"/>
      <c r="K1051" s="121"/>
      <c r="L1051" s="121"/>
      <c r="M1051" s="121"/>
    </row>
    <row r="1052" spans="10:13" s="29" customFormat="1" ht="15" customHeight="1">
      <c r="J1052" s="121"/>
      <c r="K1052" s="121"/>
      <c r="L1052" s="121"/>
      <c r="M1052" s="121"/>
    </row>
    <row r="1053" spans="10:13" s="29" customFormat="1" ht="15" customHeight="1">
      <c r="J1053" s="121"/>
      <c r="K1053" s="121"/>
      <c r="L1053" s="121"/>
      <c r="M1053" s="121"/>
    </row>
    <row r="1054" spans="10:13" s="29" customFormat="1" ht="15" customHeight="1">
      <c r="J1054" s="121"/>
      <c r="K1054" s="121"/>
      <c r="L1054" s="121"/>
      <c r="M1054" s="121"/>
    </row>
    <row r="1055" spans="10:13" s="29" customFormat="1" ht="15" customHeight="1">
      <c r="J1055" s="121"/>
      <c r="K1055" s="121"/>
      <c r="L1055" s="121"/>
      <c r="M1055" s="121"/>
    </row>
    <row r="1056" spans="10:13" s="29" customFormat="1" ht="15" customHeight="1">
      <c r="J1056" s="121"/>
      <c r="K1056" s="121"/>
      <c r="L1056" s="121"/>
      <c r="M1056" s="121"/>
    </row>
    <row r="1057" spans="10:13" s="29" customFormat="1" ht="15" customHeight="1">
      <c r="J1057" s="121"/>
      <c r="K1057" s="121"/>
      <c r="L1057" s="121"/>
      <c r="M1057" s="121"/>
    </row>
    <row r="1058" spans="10:13" s="29" customFormat="1" ht="15" customHeight="1">
      <c r="J1058" s="121"/>
      <c r="K1058" s="121"/>
      <c r="L1058" s="121"/>
      <c r="M1058" s="121"/>
    </row>
    <row r="1059" spans="10:13" s="29" customFormat="1" ht="15" customHeight="1">
      <c r="J1059" s="121"/>
      <c r="K1059" s="121"/>
      <c r="L1059" s="121"/>
      <c r="M1059" s="121"/>
    </row>
    <row r="1060" spans="10:13" s="29" customFormat="1" ht="15" customHeight="1">
      <c r="J1060" s="121"/>
      <c r="K1060" s="121"/>
      <c r="L1060" s="121"/>
      <c r="M1060" s="121"/>
    </row>
    <row r="1061" spans="10:13" s="29" customFormat="1" ht="15" customHeight="1">
      <c r="J1061" s="121"/>
      <c r="K1061" s="121"/>
      <c r="L1061" s="121"/>
      <c r="M1061" s="121"/>
    </row>
    <row r="1062" spans="10:13" s="29" customFormat="1" ht="15" customHeight="1">
      <c r="J1062" s="121"/>
      <c r="K1062" s="121"/>
      <c r="L1062" s="121"/>
      <c r="M1062" s="121"/>
    </row>
    <row r="1063" spans="10:13" s="29" customFormat="1" ht="15" customHeight="1">
      <c r="J1063" s="121"/>
      <c r="K1063" s="121"/>
      <c r="L1063" s="121"/>
      <c r="M1063" s="121"/>
    </row>
    <row r="1064" spans="10:13" s="29" customFormat="1" ht="15" customHeight="1">
      <c r="J1064" s="121"/>
      <c r="K1064" s="121"/>
      <c r="L1064" s="121"/>
      <c r="M1064" s="121"/>
    </row>
    <row r="1065" spans="10:13" s="29" customFormat="1" ht="15" customHeight="1">
      <c r="J1065" s="121"/>
      <c r="K1065" s="121"/>
      <c r="L1065" s="121"/>
      <c r="M1065" s="121"/>
    </row>
    <row r="1066" spans="10:13" s="29" customFormat="1" ht="15" customHeight="1">
      <c r="J1066" s="121"/>
      <c r="K1066" s="121"/>
      <c r="L1066" s="121"/>
      <c r="M1066" s="121"/>
    </row>
    <row r="1067" spans="10:13" s="29" customFormat="1" ht="15" customHeight="1">
      <c r="J1067" s="121"/>
      <c r="K1067" s="121"/>
      <c r="L1067" s="121"/>
      <c r="M1067" s="121"/>
    </row>
    <row r="1068" spans="10:13" s="29" customFormat="1" ht="15" customHeight="1">
      <c r="J1068" s="121"/>
      <c r="K1068" s="121"/>
      <c r="L1068" s="121"/>
      <c r="M1068" s="121"/>
    </row>
    <row r="1069" spans="10:13" s="29" customFormat="1" ht="15" customHeight="1">
      <c r="J1069" s="121"/>
      <c r="K1069" s="121"/>
      <c r="L1069" s="121"/>
      <c r="M1069" s="121"/>
    </row>
    <row r="1070" spans="10:13" s="29" customFormat="1" ht="15" customHeight="1">
      <c r="J1070" s="121"/>
      <c r="K1070" s="121"/>
      <c r="L1070" s="121"/>
      <c r="M1070" s="121"/>
    </row>
    <row r="1071" spans="10:13" s="29" customFormat="1" ht="15" customHeight="1">
      <c r="J1071" s="121"/>
      <c r="K1071" s="121"/>
      <c r="L1071" s="121"/>
      <c r="M1071" s="121"/>
    </row>
    <row r="1072" spans="10:13" s="29" customFormat="1" ht="15" customHeight="1">
      <c r="J1072" s="121"/>
      <c r="K1072" s="121"/>
      <c r="L1072" s="121"/>
      <c r="M1072" s="121"/>
    </row>
    <row r="1073" spans="10:13" s="29" customFormat="1" ht="15" customHeight="1">
      <c r="J1073" s="121"/>
      <c r="K1073" s="121"/>
      <c r="L1073" s="121"/>
      <c r="M1073" s="121"/>
    </row>
    <row r="1074" spans="10:13" s="29" customFormat="1" ht="15" customHeight="1">
      <c r="J1074" s="121"/>
      <c r="K1074" s="121"/>
      <c r="L1074" s="121"/>
      <c r="M1074" s="121"/>
    </row>
    <row r="1075" spans="10:13" s="29" customFormat="1" ht="15" customHeight="1">
      <c r="J1075" s="121"/>
      <c r="K1075" s="121"/>
      <c r="L1075" s="121"/>
      <c r="M1075" s="121"/>
    </row>
    <row r="1076" spans="10:13" s="29" customFormat="1" ht="15" customHeight="1">
      <c r="J1076" s="121"/>
      <c r="K1076" s="121"/>
      <c r="L1076" s="121"/>
      <c r="M1076" s="121"/>
    </row>
    <row r="1077" spans="10:13" s="29" customFormat="1" ht="15" customHeight="1">
      <c r="J1077" s="121"/>
      <c r="K1077" s="121"/>
      <c r="L1077" s="121"/>
      <c r="M1077" s="121"/>
    </row>
    <row r="1078" spans="10:13" s="29" customFormat="1" ht="15" customHeight="1">
      <c r="J1078" s="121"/>
      <c r="K1078" s="121"/>
      <c r="L1078" s="121"/>
      <c r="M1078" s="121"/>
    </row>
    <row r="1079" spans="10:13" s="29" customFormat="1" ht="15" customHeight="1">
      <c r="J1079" s="121"/>
      <c r="K1079" s="121"/>
      <c r="L1079" s="121"/>
      <c r="M1079" s="121"/>
    </row>
    <row r="1080" spans="10:13" s="29" customFormat="1" ht="15" customHeight="1">
      <c r="J1080" s="121"/>
      <c r="K1080" s="121"/>
      <c r="L1080" s="121"/>
      <c r="M1080" s="121"/>
    </row>
    <row r="1081" spans="10:13" s="29" customFormat="1" ht="15" customHeight="1">
      <c r="J1081" s="121"/>
      <c r="K1081" s="121"/>
      <c r="L1081" s="121"/>
      <c r="M1081" s="121"/>
    </row>
    <row r="1082" spans="10:13" s="29" customFormat="1" ht="15" customHeight="1">
      <c r="J1082" s="121"/>
      <c r="K1082" s="121"/>
      <c r="L1082" s="121"/>
      <c r="M1082" s="121"/>
    </row>
    <row r="1083" spans="10:13" s="29" customFormat="1" ht="15" customHeight="1">
      <c r="J1083" s="121"/>
      <c r="K1083" s="121"/>
      <c r="L1083" s="121"/>
      <c r="M1083" s="121"/>
    </row>
    <row r="1084" spans="10:13" s="29" customFormat="1" ht="15" customHeight="1">
      <c r="J1084" s="121"/>
      <c r="K1084" s="121"/>
      <c r="L1084" s="121"/>
      <c r="M1084" s="121"/>
    </row>
  </sheetData>
  <sheetProtection/>
  <mergeCells count="3">
    <mergeCell ref="A24:A25"/>
    <mergeCell ref="D43:E43"/>
    <mergeCell ref="H43:I43"/>
  </mergeCells>
  <conditionalFormatting sqref="C68 C79 C90 C112 C123 C134 C145 C156 C167 C178 C189 C101:D101 C211">
    <cfRule type="expression" priority="43" dxfId="0" stopIfTrue="1">
      <formula>E69=0</formula>
    </cfRule>
  </conditionalFormatting>
  <conditionalFormatting sqref="F69 F80 F91 F102 F113 F124 F135 F146 F157 F168 F179 F190">
    <cfRule type="expression" priority="44" dxfId="0" stopIfTrue="1">
      <formula>E69=0</formula>
    </cfRule>
  </conditionalFormatting>
  <conditionalFormatting sqref="G69 G80 G91 G102 G113 G124 G135 G146 G157 G168 G179 G190">
    <cfRule type="expression" priority="45" dxfId="0" stopIfTrue="1">
      <formula>E69=0</formula>
    </cfRule>
  </conditionalFormatting>
  <conditionalFormatting sqref="F71 F82 F93 F104 F115 F126 F137 F148 F159 F170 F181 F192:F193">
    <cfRule type="expression" priority="46" dxfId="0" stopIfTrue="1">
      <formula>E69=0</formula>
    </cfRule>
  </conditionalFormatting>
  <conditionalFormatting sqref="G82 G93 G104 G192:G193 G115 G126 G137 G148 G159 G170 G71 G181">
    <cfRule type="expression" priority="47" dxfId="0" stopIfTrue="1">
      <formula>E69=0</formula>
    </cfRule>
  </conditionalFormatting>
  <conditionalFormatting sqref="H93 H115 H104 H192:H193 H71 H137 H126 H148 H159 H170 H181 H82 G60">
    <cfRule type="expression" priority="48" dxfId="0" stopIfTrue="1">
      <formula>D58=0</formula>
    </cfRule>
  </conditionalFormatting>
  <conditionalFormatting sqref="A71 A82 A93 A104 A115 A126 A137 A148 A159 A170 A181 A192:A193">
    <cfRule type="expression" priority="49" dxfId="0" stopIfTrue="1">
      <formula>E69=0</formula>
    </cfRule>
  </conditionalFormatting>
  <conditionalFormatting sqref="D70 D81 D92 D103 D114 D125 D136 D147 D158 D169 D180 D191">
    <cfRule type="expression" priority="50" dxfId="0" stopIfTrue="1">
      <formula>E69=0</formula>
    </cfRule>
  </conditionalFormatting>
  <conditionalFormatting sqref="A68 A79 A90 A101 A112 A123 A134 A145 A156 A167 A178 A189">
    <cfRule type="expression" priority="51" dxfId="0" stopIfTrue="1">
      <formula>E69=0</formula>
    </cfRule>
  </conditionalFormatting>
  <conditionalFormatting sqref="A69 A80 A91 A102 A113 A124 A135 A146 A157 A168 A179 A190">
    <cfRule type="expression" priority="52" dxfId="0" stopIfTrue="1">
      <formula>E69=0</formula>
    </cfRule>
  </conditionalFormatting>
  <conditionalFormatting sqref="A70 A81 A92 A103 A114 A125 A136 A191 A158 A169 A180 A147">
    <cfRule type="expression" priority="53" dxfId="0" stopIfTrue="1">
      <formula>E69=0</formula>
    </cfRule>
  </conditionalFormatting>
  <conditionalFormatting sqref="C69 C80 C91 C102 C113 C135 C146 C157 C168 C179 C190 C124:C125">
    <cfRule type="expression" priority="54" dxfId="0" stopIfTrue="1">
      <formula>E69=0</formula>
    </cfRule>
  </conditionalFormatting>
  <conditionalFormatting sqref="C70 C81 C92 C103 C114 C180 C136 C191 C158 C169">
    <cfRule type="expression" priority="55" dxfId="0" stopIfTrue="1">
      <formula>E69=0</formula>
    </cfRule>
  </conditionalFormatting>
  <conditionalFormatting sqref="A66 A77 A88 A99 A110 A121 A132 A143 A154 A165 A176 A187">
    <cfRule type="expression" priority="56" dxfId="0" stopIfTrue="1">
      <formula>E69=0</formula>
    </cfRule>
  </conditionalFormatting>
  <conditionalFormatting sqref="I311 C310 E309:E311 I297 I326 C324:C325 I341 C339:C340 I356 C354:C355 I371 C369:C370 I386 C384:C385 E383:E386 D296 I282:I284 C279 C295 E278:E282 E294:E297 I266 I253:I254 C265 E264:E266 E104 E137:E138 E148:E149 E93 E115:E116 E82 E71 E181:E182 E159:E160 E126:E127 E170:E171 I238 E201:E203 F204 I181 E193 I192 E236:E238 I71 I82 I93 I104 I227 I115 I126 I137 I148 I159 I170 E61 I203 I215 E251:E254 K29:N29 L26:O27 L24:O24 E368:E371 E323:E326 E338:E341 E353:E356">
    <cfRule type="cellIs" priority="57" dxfId="0" operator="equal" stopIfTrue="1">
      <formula>0</formula>
    </cfRule>
  </conditionalFormatting>
  <conditionalFormatting sqref="E53 A21:G23 A32:G33 D7">
    <cfRule type="cellIs" priority="58" dxfId="0" operator="equal" stopIfTrue="1">
      <formula>FALSE</formula>
    </cfRule>
  </conditionalFormatting>
  <conditionalFormatting sqref="G301 D301 G315 D315 G330 D330 G345 D345 G360 D360 G375 D375 G286 D286 G270 D270 G256 D256 D129 D140 I125:J125 D184 I100:J100 F184:H184 F85:H85 F107:H107 D74 I191:J191 D63 F74:J74 F63:H63 F173:H173 F140:H140 D107 D118 F118:H118 D96 F96:H96 I87:J87 G243 D85 I147:J147 D243 F129:H129 D151 D162 F162:H162 I169:J169 I51:I52 F151:H151 D173">
    <cfRule type="cellIs" priority="59" dxfId="22" operator="equal" stopIfTrue="1">
      <formula>FALSE</formula>
    </cfRule>
  </conditionalFormatting>
  <conditionalFormatting sqref="J184 L184:IV184 L140:IV140 J118 L118:IV118 J140 J162 L162:IV162">
    <cfRule type="expression" priority="60" dxfId="0" stopIfTrue="1">
      <formula>$E$109=$E$120</formula>
    </cfRule>
  </conditionalFormatting>
  <conditionalFormatting sqref="A150:J150 L150:IV150 B194:J194 A183:J183 L183:IV183 A128:C128 A62:J62 L62:IV62 A106:C106 E95:J95 L95:IV95 A95:C95 E128:J128 L128:IV128 A84:C84 A172:J172 L172:IV172 A73:C73 E84:J84 L84:IV84 A117:C117 E106:J106 L106:IV106 E117:J117 E73:J73 L73:IV73 L117:IV117 A139:J139 L139:IV139 L194:IV194 A161:J161 L161:IV161">
    <cfRule type="cellIs" priority="61" dxfId="0" operator="equal" stopIfTrue="1">
      <formula>2</formula>
    </cfRule>
  </conditionalFormatting>
  <conditionalFormatting sqref="A63">
    <cfRule type="expression" priority="62" dxfId="19" stopIfTrue="1">
      <formula>$B$64=$C$64</formula>
    </cfRule>
  </conditionalFormatting>
  <conditionalFormatting sqref="B69:B70 B80:B81 B91:B92 B102:B103 B113:B114 B124:B125 B135:B136 B146 B157:B158 B168:B169 B179:B180 B190:B191">
    <cfRule type="expression" priority="63" dxfId="0" stopIfTrue="1">
      <formula>$E$69=0</formula>
    </cfRule>
  </conditionalFormatting>
  <conditionalFormatting sqref="E69:E70 E80:E81 E91:E92 E102:E103 E113:E114 E124:E125 E135:E136 E146:E147 E157:E158 E168:E169 E179:E180 E190">
    <cfRule type="expression" priority="64" dxfId="0" stopIfTrue="1">
      <formula>E69=0</formula>
    </cfRule>
  </conditionalFormatting>
  <conditionalFormatting sqref="C49:D49 F49">
    <cfRule type="expression" priority="65" dxfId="0" stopIfTrue="1">
      <formula>$C$49=0</formula>
    </cfRule>
  </conditionalFormatting>
  <conditionalFormatting sqref="B147">
    <cfRule type="expression" priority="66" dxfId="0" stopIfTrue="1">
      <formula>$E$146=0</formula>
    </cfRule>
  </conditionalFormatting>
  <conditionalFormatting sqref="A200 A201:C203 C200 F201 D198 F203 A198 G201:H203">
    <cfRule type="expression" priority="67" dxfId="0" stopIfTrue="1">
      <formula>$E$201=0</formula>
    </cfRule>
  </conditionalFormatting>
  <conditionalFormatting sqref="A223 A224:C227 A221 C223 H224:I226 E224:G227">
    <cfRule type="expression" priority="68" dxfId="0" stopIfTrue="1">
      <formula>$E$224=0</formula>
    </cfRule>
  </conditionalFormatting>
  <conditionalFormatting sqref="D225:D226">
    <cfRule type="expression" priority="69" dxfId="0" stopIfTrue="1">
      <formula>$E$225=0</formula>
    </cfRule>
  </conditionalFormatting>
  <conditionalFormatting sqref="C309 C310:D310 C323 C324:D325 C338 C339:D340 C353 C354:D355 C368 C369:D370 C383 C384:D385 C296 C278 C279:D281 C295:D295 C264 C265:D265 C252:D252 C251">
    <cfRule type="cellIs" priority="70" dxfId="11" operator="equal" stopIfTrue="1">
      <formula>FALSE</formula>
    </cfRule>
  </conditionalFormatting>
  <conditionalFormatting sqref="E191:E192">
    <cfRule type="expression" priority="71" dxfId="0" stopIfTrue="1">
      <formula>$E$190=0</formula>
    </cfRule>
  </conditionalFormatting>
  <conditionalFormatting sqref="A211:B215 D211:H215 C212:C215">
    <cfRule type="expression" priority="72" dxfId="0" stopIfTrue="1">
      <formula>$E$212=0</formula>
    </cfRule>
  </conditionalFormatting>
  <conditionalFormatting sqref="A276:H276 B283:H284 A283">
    <cfRule type="expression" priority="73" dxfId="0" stopIfTrue="1">
      <formula>$E$278=0</formula>
    </cfRule>
  </conditionalFormatting>
  <conditionalFormatting sqref="A289:A292 B289:B293 D290:D294 C289:C294">
    <cfRule type="expression" priority="74" dxfId="0" stopIfTrue="1">
      <formula>$E$294=0</formula>
    </cfRule>
  </conditionalFormatting>
  <conditionalFormatting sqref="I6:I7">
    <cfRule type="cellIs" priority="75" dxfId="0" operator="equal" stopIfTrue="1">
      <formula>0</formula>
    </cfRule>
    <cfRule type="cellIs" priority="76" dxfId="5" operator="greaterThan" stopIfTrue="1">
      <formula>0</formula>
    </cfRule>
  </conditionalFormatting>
  <conditionalFormatting sqref="H60">
    <cfRule type="expression" priority="302" dxfId="0" stopIfTrue="1">
      <formula>D58=0</formula>
    </cfRule>
  </conditionalFormatting>
  <conditionalFormatting sqref="H61">
    <cfRule type="expression" priority="6" dxfId="0" stopIfTrue="1">
      <formula>D59=0</formula>
    </cfRule>
  </conditionalFormatting>
  <conditionalFormatting sqref="G250">
    <cfRule type="expression" priority="5" dxfId="2" stopIfTrue="1">
      <formula>$A$255&gt;0</formula>
    </cfRule>
  </conditionalFormatting>
  <conditionalFormatting sqref="G250">
    <cfRule type="expression" priority="4" dxfId="1" stopIfTrue="1">
      <formula>$A$255=0</formula>
    </cfRule>
  </conditionalFormatting>
  <dataValidations count="3">
    <dataValidation type="date" operator="greaterThanOrEqual" allowBlank="1" showInputMessage="1" showErrorMessage="1" errorTitle="ATTENZIONE" error="LA DATA DI IMMISSIONE IN RUOLO DEVE ESSERE SUCCESSIVA AL 01/01/1996.&#10;ALTRIMENTI USARE IL FOGLIO &quot;399&quot; " sqref="H6">
      <formula1>35065</formula1>
    </dataValidation>
    <dataValidation type="date" operator="greaterThanOrEqual" allowBlank="1" showInputMessage="1" showErrorMessage="1" errorTitle="ATTENZIONE" error="LA DATA DI DECORRENZA ECONOMICA DEL RUOLO  DEVE ESSERE SUCCESSIVA AL 01/01/1996, ALTRIMENTI USARE IL FOGLIO &quot;399&quot;." sqref="H7">
      <formula1>35065</formula1>
    </dataValidation>
    <dataValidation type="list" allowBlank="1" showInputMessage="1" showErrorMessage="1" sqref="B7">
      <formula1>$A$20:$G$20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4"/>
  <sheetViews>
    <sheetView zoomScalePageLayoutView="0" workbookViewId="0" topLeftCell="A19">
      <selection activeCell="A30" sqref="A30"/>
    </sheetView>
  </sheetViews>
  <sheetFormatPr defaultColWidth="0" defaultRowHeight="22.5" customHeight="1"/>
  <cols>
    <col min="1" max="1" width="11.57421875" style="38" customWidth="1"/>
    <col min="2" max="2" width="11.00390625" style="38" customWidth="1"/>
    <col min="3" max="3" width="6.7109375" style="38" customWidth="1"/>
    <col min="4" max="4" width="6.140625" style="42" customWidth="1"/>
    <col min="5" max="5" width="11.421875" style="38" customWidth="1"/>
    <col min="6" max="6" width="15.57421875" style="38" customWidth="1"/>
    <col min="7" max="7" width="10.8515625" style="38" customWidth="1"/>
    <col min="8" max="8" width="8.8515625" style="38" customWidth="1"/>
    <col min="9" max="9" width="8.57421875" style="38" customWidth="1"/>
    <col min="10" max="10" width="9.28125" style="38" customWidth="1"/>
    <col min="11" max="11" width="6.421875" style="38" customWidth="1"/>
    <col min="12" max="16384" width="40.7109375" style="38" hidden="1" customWidth="1"/>
  </cols>
  <sheetData>
    <row r="1" spans="1:4" s="54" customFormat="1" ht="12" customHeight="1">
      <c r="A1" s="55"/>
      <c r="D1" s="55"/>
    </row>
    <row r="2" spans="1:4" s="54" customFormat="1" ht="17.25" customHeight="1">
      <c r="A2" s="55"/>
      <c r="D2" s="55"/>
    </row>
    <row r="3" spans="3:7" s="54" customFormat="1" ht="21.75" customHeight="1">
      <c r="C3" s="592"/>
      <c r="D3" s="592"/>
      <c r="E3" s="592"/>
      <c r="F3" s="592"/>
      <c r="G3" s="593"/>
    </row>
    <row r="4" spans="1:4" s="54" customFormat="1" ht="12.75">
      <c r="A4" s="55"/>
      <c r="D4" s="55"/>
    </row>
    <row r="5" spans="1:4" s="54" customFormat="1" ht="12.75">
      <c r="A5" s="55"/>
      <c r="D5" s="55"/>
    </row>
    <row r="6" spans="1:4" s="54" customFormat="1" ht="26.25">
      <c r="A6" s="56" t="s">
        <v>244</v>
      </c>
      <c r="B6" s="61"/>
      <c r="D6" s="55"/>
    </row>
    <row r="7" spans="1:4" s="54" customFormat="1" ht="14.25" customHeight="1">
      <c r="A7" s="55" t="s">
        <v>245</v>
      </c>
      <c r="B7" s="62"/>
      <c r="D7" s="55"/>
    </row>
    <row r="8" spans="1:4" s="54" customFormat="1" ht="8.25" customHeight="1">
      <c r="A8" s="462"/>
      <c r="D8" s="55"/>
    </row>
    <row r="9" spans="4:5" s="54" customFormat="1" ht="12.75">
      <c r="D9" s="55"/>
      <c r="E9" s="462" t="s">
        <v>238</v>
      </c>
    </row>
    <row r="10" spans="1:4" s="54" customFormat="1" ht="12.75">
      <c r="A10" s="56"/>
      <c r="D10" s="55"/>
    </row>
    <row r="11" spans="1:10" s="54" customFormat="1" ht="20.25" customHeight="1">
      <c r="A11" s="463" t="s">
        <v>239</v>
      </c>
      <c r="B11" s="590" t="s">
        <v>247</v>
      </c>
      <c r="C11" s="590"/>
      <c r="D11" s="590"/>
      <c r="E11" s="590"/>
      <c r="F11" s="590"/>
      <c r="G11" s="590"/>
      <c r="H11" s="590"/>
      <c r="I11" s="56"/>
      <c r="J11" s="56"/>
    </row>
    <row r="12" spans="1:10" s="54" customFormat="1" ht="20.25" customHeight="1">
      <c r="A12" s="463" t="s">
        <v>240</v>
      </c>
      <c r="B12" s="590" t="s">
        <v>252</v>
      </c>
      <c r="C12" s="590"/>
      <c r="D12" s="590"/>
      <c r="E12" s="590"/>
      <c r="F12" s="590"/>
      <c r="G12" s="590"/>
      <c r="H12" s="590"/>
      <c r="I12" s="56"/>
      <c r="J12" s="56"/>
    </row>
    <row r="13" spans="1:10" s="54" customFormat="1" ht="20.25" customHeight="1">
      <c r="A13" s="463" t="s">
        <v>82</v>
      </c>
      <c r="B13" s="590" t="s">
        <v>248</v>
      </c>
      <c r="C13" s="590"/>
      <c r="D13" s="590"/>
      <c r="E13" s="590"/>
      <c r="F13" s="590"/>
      <c r="G13" s="590"/>
      <c r="H13" s="590"/>
      <c r="I13" s="56"/>
      <c r="J13" s="56"/>
    </row>
    <row r="14" spans="1:10" s="54" customFormat="1" ht="20.25" customHeight="1">
      <c r="A14" s="463" t="s">
        <v>82</v>
      </c>
      <c r="B14" s="590" t="s">
        <v>251</v>
      </c>
      <c r="C14" s="590"/>
      <c r="D14" s="590"/>
      <c r="E14" s="590"/>
      <c r="F14" s="590"/>
      <c r="G14" s="590"/>
      <c r="H14" s="590"/>
      <c r="I14" s="56"/>
      <c r="J14" s="56"/>
    </row>
    <row r="15" spans="1:10" s="54" customFormat="1" ht="20.25" customHeight="1">
      <c r="A15" s="463" t="s">
        <v>82</v>
      </c>
      <c r="B15" s="590" t="s">
        <v>249</v>
      </c>
      <c r="C15" s="590"/>
      <c r="D15" s="590"/>
      <c r="E15" s="590"/>
      <c r="F15" s="590"/>
      <c r="G15" s="590"/>
      <c r="H15" s="590"/>
      <c r="I15" s="56"/>
      <c r="J15" s="56"/>
    </row>
    <row r="16" spans="1:10" s="54" customFormat="1" ht="20.25" customHeight="1">
      <c r="A16" s="463" t="s">
        <v>239</v>
      </c>
      <c r="B16" s="590" t="s">
        <v>250</v>
      </c>
      <c r="C16" s="590"/>
      <c r="D16" s="590"/>
      <c r="E16" s="590"/>
      <c r="F16" s="590"/>
      <c r="G16" s="590"/>
      <c r="H16" s="590"/>
      <c r="I16" s="56"/>
      <c r="J16" s="56"/>
    </row>
    <row r="17" spans="1:10" s="54" customFormat="1" ht="15.75" customHeight="1">
      <c r="A17" s="463" t="s">
        <v>240</v>
      </c>
      <c r="B17" s="590" t="s">
        <v>274</v>
      </c>
      <c r="C17" s="590"/>
      <c r="D17" s="590"/>
      <c r="E17" s="590"/>
      <c r="F17" s="590"/>
      <c r="G17" s="590"/>
      <c r="H17" s="590"/>
      <c r="I17" s="56"/>
      <c r="J17" s="56"/>
    </row>
    <row r="18" spans="1:5" s="54" customFormat="1" ht="15.75" customHeight="1">
      <c r="A18" s="463" t="s">
        <v>240</v>
      </c>
      <c r="B18" s="590" t="s">
        <v>275</v>
      </c>
      <c r="C18" s="590"/>
      <c r="D18" s="590"/>
      <c r="E18" s="590"/>
    </row>
    <row r="19" spans="1:10" s="54" customFormat="1" ht="18" customHeight="1">
      <c r="A19" s="463" t="s">
        <v>240</v>
      </c>
      <c r="B19" s="590" t="s">
        <v>241</v>
      </c>
      <c r="C19" s="590"/>
      <c r="D19" s="590"/>
      <c r="E19" s="590"/>
      <c r="F19" s="590"/>
      <c r="G19" s="590"/>
      <c r="H19" s="590"/>
      <c r="I19" s="56"/>
      <c r="J19" s="56"/>
    </row>
    <row r="20" spans="1:11" s="54" customFormat="1" ht="37.5" customHeight="1">
      <c r="A20" s="58" t="s">
        <v>240</v>
      </c>
      <c r="B20" s="590" t="s">
        <v>253</v>
      </c>
      <c r="C20" s="590"/>
      <c r="D20" s="590"/>
      <c r="E20" s="590"/>
      <c r="F20" s="590"/>
      <c r="G20" s="590"/>
      <c r="H20" s="590"/>
      <c r="I20" s="591"/>
      <c r="J20" s="591"/>
      <c r="K20" s="591"/>
    </row>
    <row r="21" spans="1:5" s="54" customFormat="1" ht="15.75" customHeight="1">
      <c r="A21" s="463" t="s">
        <v>239</v>
      </c>
      <c r="B21" s="590" t="s">
        <v>276</v>
      </c>
      <c r="C21" s="590"/>
      <c r="D21" s="590"/>
      <c r="E21" s="590"/>
    </row>
    <row r="22" spans="1:11" s="54" customFormat="1" ht="18.75" customHeight="1">
      <c r="A22" s="58" t="s">
        <v>240</v>
      </c>
      <c r="B22" s="590" t="s">
        <v>279</v>
      </c>
      <c r="C22" s="590"/>
      <c r="D22" s="590"/>
      <c r="E22" s="590"/>
      <c r="F22" s="590"/>
      <c r="G22" s="590"/>
      <c r="H22" s="590"/>
      <c r="I22" s="591"/>
      <c r="J22" s="591"/>
      <c r="K22" s="591"/>
    </row>
    <row r="23" spans="1:11" s="54" customFormat="1" ht="30" customHeight="1">
      <c r="A23" s="58" t="s">
        <v>240</v>
      </c>
      <c r="B23" s="594" t="s">
        <v>90</v>
      </c>
      <c r="C23" s="594"/>
      <c r="D23" s="594"/>
      <c r="E23" s="594"/>
      <c r="F23" s="594"/>
      <c r="G23" s="594"/>
      <c r="H23" s="594"/>
      <c r="I23" s="595"/>
      <c r="J23" s="595"/>
      <c r="K23" s="595"/>
    </row>
    <row r="24" spans="1:11" s="54" customFormat="1" ht="30" customHeight="1">
      <c r="A24" s="58" t="s">
        <v>240</v>
      </c>
      <c r="B24" s="594" t="s">
        <v>354</v>
      </c>
      <c r="C24" s="594"/>
      <c r="D24" s="594"/>
      <c r="E24" s="594"/>
      <c r="F24" s="594"/>
      <c r="G24" s="594"/>
      <c r="H24" s="594"/>
      <c r="I24" s="595"/>
      <c r="J24" s="595"/>
      <c r="K24" s="595"/>
    </row>
    <row r="25" spans="1:11" s="54" customFormat="1" ht="15" customHeight="1">
      <c r="A25" s="58" t="s">
        <v>239</v>
      </c>
      <c r="B25" s="590" t="s">
        <v>355</v>
      </c>
      <c r="C25" s="590"/>
      <c r="D25" s="590"/>
      <c r="E25" s="590"/>
      <c r="F25" s="590"/>
      <c r="G25" s="590"/>
      <c r="H25" s="590"/>
      <c r="I25" s="591"/>
      <c r="J25" s="591"/>
      <c r="K25" s="591"/>
    </row>
    <row r="26" spans="1:11" ht="22.5" customHeight="1">
      <c r="A26" s="58" t="s">
        <v>357</v>
      </c>
      <c r="B26" s="590" t="s">
        <v>363</v>
      </c>
      <c r="C26" s="590"/>
      <c r="D26" s="590"/>
      <c r="E26" s="590"/>
      <c r="F26" s="590"/>
      <c r="G26" s="590"/>
      <c r="H26" s="590"/>
      <c r="I26" s="591"/>
      <c r="J26" s="591"/>
      <c r="K26" s="591"/>
    </row>
    <row r="27" spans="1:11" s="54" customFormat="1" ht="19.5" customHeight="1">
      <c r="A27" s="58" t="s">
        <v>239</v>
      </c>
      <c r="B27" s="588" t="s">
        <v>356</v>
      </c>
      <c r="C27" s="588"/>
      <c r="D27" s="588"/>
      <c r="E27" s="588"/>
      <c r="F27" s="589"/>
      <c r="G27" s="60" t="str">
        <f>'dsga ricost'!B6</f>
        <v>PALLINO</v>
      </c>
      <c r="I27" s="70" t="str">
        <f>'dsga ricost'!D6</f>
        <v>PINCA</v>
      </c>
      <c r="K27" s="57"/>
    </row>
    <row r="28" spans="1:11" s="54" customFormat="1" ht="18" customHeight="1">
      <c r="A28" s="56"/>
      <c r="C28" s="56"/>
      <c r="D28" s="55"/>
      <c r="E28" s="57"/>
      <c r="F28" s="57"/>
      <c r="G28" s="57"/>
      <c r="H28" s="57"/>
      <c r="I28" s="57"/>
      <c r="J28" s="57"/>
      <c r="K28" s="57"/>
    </row>
    <row r="29" spans="4:11" s="54" customFormat="1" ht="7.5" customHeight="1">
      <c r="D29" s="55"/>
      <c r="K29" s="57"/>
    </row>
    <row r="30" ht="12.75"/>
    <row r="31" spans="4:6" ht="12.75">
      <c r="D31" s="598" t="s">
        <v>284</v>
      </c>
      <c r="E31" s="598"/>
      <c r="F31" s="598"/>
    </row>
    <row r="32" ht="12.75">
      <c r="F32" s="43"/>
    </row>
    <row r="33" spans="1:11" ht="15" customHeight="1">
      <c r="A33" s="38" t="s">
        <v>280</v>
      </c>
      <c r="B33" s="46">
        <f>'dsga ricost'!C56</f>
        <v>37826</v>
      </c>
      <c r="C33" s="38" t="s">
        <v>358</v>
      </c>
      <c r="K33" s="44"/>
    </row>
    <row r="34" spans="2:11" ht="15" customHeight="1">
      <c r="B34" s="65"/>
      <c r="K34" s="44"/>
    </row>
    <row r="35" spans="2:11" ht="15" customHeight="1">
      <c r="B35" s="64"/>
      <c r="D35" s="38" t="s">
        <v>287</v>
      </c>
      <c r="K35" s="44"/>
    </row>
    <row r="36" spans="2:11" ht="12.75" customHeight="1">
      <c r="B36" s="64"/>
      <c r="E36" s="42" t="s">
        <v>96</v>
      </c>
      <c r="F36" s="42" t="s">
        <v>224</v>
      </c>
      <c r="G36" s="42" t="s">
        <v>225</v>
      </c>
      <c r="K36" s="44"/>
    </row>
    <row r="37" spans="1:11" ht="15" customHeight="1">
      <c r="A37" s="464" t="s">
        <v>83</v>
      </c>
      <c r="E37" s="45">
        <f>'dsga ricost'!E36</f>
        <v>15</v>
      </c>
      <c r="F37" s="45">
        <f>'dsga ricost'!F36</f>
        <v>10</v>
      </c>
      <c r="G37" s="45">
        <f>'dsga ricost'!G36</f>
        <v>0</v>
      </c>
      <c r="K37" s="44"/>
    </row>
    <row r="38" spans="1:11" ht="15" customHeight="1" thickBot="1">
      <c r="A38" s="464" t="s">
        <v>84</v>
      </c>
      <c r="E38" s="69">
        <f>'dsga ricost'!E25</f>
        <v>1</v>
      </c>
      <c r="F38" s="69">
        <f>'dsga ricost'!F25</f>
        <v>0</v>
      </c>
      <c r="G38" s="69">
        <f>'dsga ricost'!G25</f>
        <v>0</v>
      </c>
      <c r="K38" s="44"/>
    </row>
    <row r="39" spans="1:11" ht="15" customHeight="1" thickTop="1">
      <c r="A39" s="464" t="s">
        <v>281</v>
      </c>
      <c r="E39" s="45">
        <f>'dsga ricost'!E26</f>
        <v>16</v>
      </c>
      <c r="F39" s="45">
        <f>'dsga ricost'!F26</f>
        <v>10</v>
      </c>
      <c r="G39" s="45">
        <f>'dsga ricost'!G26</f>
        <v>0</v>
      </c>
      <c r="K39" s="44"/>
    </row>
    <row r="40" spans="2:11" ht="15" customHeight="1">
      <c r="B40" s="64"/>
      <c r="E40" s="49"/>
      <c r="F40" s="42"/>
      <c r="G40" s="49"/>
      <c r="H40" s="49"/>
      <c r="K40" s="44"/>
    </row>
    <row r="41" spans="1:11" ht="15" customHeight="1">
      <c r="A41" s="38" t="s">
        <v>282</v>
      </c>
      <c r="B41" s="64"/>
      <c r="E41" s="49"/>
      <c r="F41" s="49"/>
      <c r="G41" s="49" t="str">
        <f>'dsga ricost'!H39</f>
        <v>QUARTA</v>
      </c>
      <c r="H41" s="38" t="s">
        <v>291</v>
      </c>
      <c r="K41" s="44"/>
    </row>
    <row r="42" spans="1:11" ht="15" customHeight="1">
      <c r="A42" s="38" t="s">
        <v>359</v>
      </c>
      <c r="C42" s="596">
        <v>37826</v>
      </c>
      <c r="D42" s="597"/>
      <c r="E42" s="38" t="s">
        <v>285</v>
      </c>
      <c r="I42" s="40">
        <f>'dsga ricost'!G39</f>
        <v>15</v>
      </c>
      <c r="J42" s="38" t="s">
        <v>147</v>
      </c>
      <c r="K42" s="44" t="str">
        <f>'dsga ricost'!I38</f>
        <v>15 - 20</v>
      </c>
    </row>
    <row r="43" spans="1:11" ht="15" customHeight="1">
      <c r="A43" s="38" t="s">
        <v>286</v>
      </c>
      <c r="E43" s="45">
        <f>E38</f>
        <v>1</v>
      </c>
      <c r="F43" s="42" t="s">
        <v>95</v>
      </c>
      <c r="G43" s="45">
        <f>F38</f>
        <v>0</v>
      </c>
      <c r="H43" s="42" t="s">
        <v>94</v>
      </c>
      <c r="I43" s="45">
        <f>G38</f>
        <v>0</v>
      </c>
      <c r="K43" s="44"/>
    </row>
    <row r="44" spans="1:11" ht="15" customHeight="1">
      <c r="A44" s="38" t="s">
        <v>364</v>
      </c>
      <c r="K44" s="44"/>
    </row>
    <row r="45" spans="1:11" ht="15" customHeight="1">
      <c r="A45" s="38" t="s">
        <v>337</v>
      </c>
      <c r="G45" s="40">
        <f>'dsga ricost'!F40</f>
        <v>0</v>
      </c>
      <c r="H45" s="38" t="s">
        <v>338</v>
      </c>
      <c r="I45" s="40">
        <f>'dsga ricost'!H40</f>
        <v>10</v>
      </c>
      <c r="J45" s="38" t="s">
        <v>339</v>
      </c>
      <c r="K45" s="44"/>
    </row>
    <row r="46" spans="1:11" ht="15" customHeight="1">
      <c r="A46" s="38" t="s">
        <v>360</v>
      </c>
      <c r="F46" s="46">
        <f>'dsga ricost'!F54</f>
        <v>39692</v>
      </c>
      <c r="K46" s="44"/>
    </row>
    <row r="47" spans="1:11" ht="15" customHeight="1">
      <c r="A47" s="38" t="s">
        <v>243</v>
      </c>
      <c r="D47" s="38"/>
      <c r="K47" s="44"/>
    </row>
    <row r="48" spans="4:11" ht="15" customHeight="1">
      <c r="D48" s="38"/>
      <c r="K48" s="44"/>
    </row>
    <row r="49" spans="2:11" ht="15" customHeight="1">
      <c r="B49" s="38" t="s">
        <v>77</v>
      </c>
      <c r="D49" s="38"/>
      <c r="F49" s="466">
        <f>'dsga ricost'!F58</f>
        <v>23631.02</v>
      </c>
      <c r="K49" s="44"/>
    </row>
    <row r="50" spans="3:11" ht="15" customHeight="1" thickBot="1">
      <c r="C50" s="38" t="s">
        <v>297</v>
      </c>
      <c r="D50" s="38"/>
      <c r="F50" s="467">
        <f>'dsga ricost'!F59</f>
        <v>647.79</v>
      </c>
      <c r="K50" s="44"/>
    </row>
    <row r="51" spans="4:11" ht="15" customHeight="1" thickTop="1">
      <c r="D51" s="38"/>
      <c r="E51" s="38" t="s">
        <v>188</v>
      </c>
      <c r="F51" s="468">
        <f>SUM(F49:F50)</f>
        <v>24278.81</v>
      </c>
      <c r="K51" s="44"/>
    </row>
    <row r="52" spans="3:11" ht="15" customHeight="1">
      <c r="C52" s="38" t="s">
        <v>242</v>
      </c>
      <c r="D52" s="38"/>
      <c r="K52" s="44"/>
    </row>
    <row r="53" ht="15" customHeight="1">
      <c r="K53" s="44"/>
    </row>
    <row r="54" spans="4:6" ht="15" customHeight="1">
      <c r="D54" s="38"/>
      <c r="E54" s="47" t="s">
        <v>254</v>
      </c>
      <c r="F54" s="48">
        <v>1</v>
      </c>
    </row>
    <row r="55" spans="1:9" ht="15" customHeight="1">
      <c r="A55" s="43" t="s">
        <v>340</v>
      </c>
      <c r="D55" s="38"/>
      <c r="G55" s="49">
        <f>'dsga ricost'!D38</f>
        <v>15</v>
      </c>
      <c r="H55" s="38" t="s">
        <v>76</v>
      </c>
      <c r="I55" s="44"/>
    </row>
    <row r="56" spans="1:9" ht="15" customHeight="1">
      <c r="A56" s="38" t="s">
        <v>56</v>
      </c>
      <c r="D56" s="38"/>
      <c r="E56" s="65">
        <v>37826</v>
      </c>
      <c r="F56" s="42" t="s">
        <v>147</v>
      </c>
      <c r="G56" s="42" t="str">
        <f>'dsga ricost'!I248</f>
        <v>15-20</v>
      </c>
      <c r="I56" s="44"/>
    </row>
    <row r="57" spans="1:9" ht="6" customHeight="1">
      <c r="A57" s="38">
        <f>IF('dsga ricost'!$H$8=1,"","PROFES.LE DOC. CORRISPONDENTE ALLA")</f>
      </c>
      <c r="D57" s="38"/>
      <c r="F57" s="485">
        <f>IF('dsga ricost'!$H$8=1,"",'dsga ricost'!#REF!)</f>
      </c>
      <c r="G57" s="38">
        <f>IF('dsga ricost'!$H$8=1,"","FASCIA NELLA TAB. 4 ANNESSA AL CITATO CCNL.")</f>
      </c>
      <c r="I57" s="44"/>
    </row>
    <row r="58" spans="1:9" ht="15" customHeight="1">
      <c r="A58" s="38" t="s">
        <v>9</v>
      </c>
      <c r="D58" s="38"/>
      <c r="E58" s="49"/>
      <c r="I58" s="44"/>
    </row>
    <row r="59" spans="4:9" ht="1.5" customHeight="1">
      <c r="D59" s="38"/>
      <c r="E59" s="49"/>
      <c r="I59" s="44"/>
    </row>
    <row r="60" spans="1:4" ht="15" customHeight="1">
      <c r="A60" s="38" t="s">
        <v>246</v>
      </c>
      <c r="D60" s="38"/>
    </row>
    <row r="61" ht="15" customHeight="1">
      <c r="D61" s="38"/>
    </row>
    <row r="62" spans="2:6" ht="15" customHeight="1">
      <c r="B62" s="38" t="s">
        <v>77</v>
      </c>
      <c r="D62" s="38"/>
      <c r="F62" s="466">
        <f>'dsga ricost'!E251</f>
        <v>24129.98</v>
      </c>
    </row>
    <row r="63" spans="2:9" ht="15" customHeight="1" thickBot="1">
      <c r="B63" s="38" t="s">
        <v>297</v>
      </c>
      <c r="D63" s="38"/>
      <c r="F63" s="467">
        <f>'dsga ricost'!E252</f>
        <v>647.79</v>
      </c>
      <c r="I63" s="465"/>
    </row>
    <row r="64" spans="4:9" ht="15" customHeight="1" thickTop="1">
      <c r="D64" s="38"/>
      <c r="E64" s="38" t="s">
        <v>188</v>
      </c>
      <c r="F64" s="468">
        <f>SUM(F62:F63)</f>
        <v>24777.77</v>
      </c>
      <c r="I64" s="465"/>
    </row>
    <row r="65" spans="4:9" ht="9.75" customHeight="1">
      <c r="D65" s="38"/>
      <c r="F65" s="468"/>
      <c r="I65" s="465"/>
    </row>
    <row r="66" spans="3:4" ht="15" customHeight="1">
      <c r="C66" s="38" t="s">
        <v>242</v>
      </c>
      <c r="D66" s="38"/>
    </row>
    <row r="67" ht="15" customHeight="1">
      <c r="D67" s="38"/>
    </row>
    <row r="68" spans="4:6" ht="15" customHeight="1">
      <c r="D68" s="47"/>
      <c r="E68" s="47" t="s">
        <v>254</v>
      </c>
      <c r="F68" s="48">
        <f>F54+1</f>
        <v>2</v>
      </c>
    </row>
    <row r="69" ht="15" customHeight="1">
      <c r="D69" s="38"/>
    </row>
    <row r="70" spans="1:9" ht="15" customHeight="1">
      <c r="A70" s="43" t="s">
        <v>85</v>
      </c>
      <c r="D70" s="38"/>
      <c r="G70" s="49">
        <f>'dsga ricost'!F259</f>
        <v>17</v>
      </c>
      <c r="H70" s="38" t="s">
        <v>76</v>
      </c>
      <c r="I70" s="44"/>
    </row>
    <row r="71" spans="1:9" ht="15" customHeight="1">
      <c r="A71" s="38" t="s">
        <v>56</v>
      </c>
      <c r="D71" s="38"/>
      <c r="E71" s="49"/>
      <c r="F71" s="42" t="s">
        <v>147</v>
      </c>
      <c r="G71" s="42" t="str">
        <f>'dsga ricost'!I275</f>
        <v>15-20</v>
      </c>
      <c r="I71" s="44"/>
    </row>
    <row r="72" spans="1:9" ht="5.25" customHeight="1">
      <c r="A72" s="38">
        <f>IF('dsga ricost'!$H$8=1,"","PROFES.LE DOC. CORRISPONDENTE ALLA")</f>
      </c>
      <c r="D72" s="38"/>
      <c r="F72" s="485">
        <f>IF('dsga ricost'!$H$8=1,"",'dsga ricost'!D265)</f>
      </c>
      <c r="G72" s="38">
        <f>IF('dsga ricost'!$H$8=1,"","FASCIA NELLA TAB. 4 ANNESSA AL CITATO CCNL.")</f>
      </c>
      <c r="I72" s="44"/>
    </row>
    <row r="73" spans="1:9" ht="15" customHeight="1">
      <c r="A73" s="38" t="s">
        <v>9</v>
      </c>
      <c r="D73" s="38"/>
      <c r="E73" s="49"/>
      <c r="I73" s="44"/>
    </row>
    <row r="74" spans="4:9" ht="6.75" customHeight="1">
      <c r="D74" s="38"/>
      <c r="E74" s="49"/>
      <c r="I74" s="44"/>
    </row>
    <row r="75" spans="1:4" ht="15" customHeight="1">
      <c r="A75" s="38" t="s">
        <v>246</v>
      </c>
      <c r="D75" s="38"/>
    </row>
    <row r="76" ht="15" customHeight="1">
      <c r="D76" s="38"/>
    </row>
    <row r="77" spans="2:6" ht="15" customHeight="1">
      <c r="B77" s="38" t="s">
        <v>78</v>
      </c>
      <c r="D77" s="38"/>
      <c r="F77" s="466">
        <f>'dsga ricost'!E264</f>
        <v>24774.81</v>
      </c>
    </row>
    <row r="78" spans="2:6" ht="15" customHeight="1" thickBot="1">
      <c r="B78" s="38" t="s">
        <v>297</v>
      </c>
      <c r="D78" s="38"/>
      <c r="F78" s="467">
        <f>'dsga ricost'!E265</f>
        <v>647.79</v>
      </c>
    </row>
    <row r="79" spans="4:9" ht="15" customHeight="1" thickTop="1">
      <c r="D79" s="38"/>
      <c r="E79" s="38" t="s">
        <v>188</v>
      </c>
      <c r="F79" s="468">
        <f>SUM(F77:F78)</f>
        <v>25422.600000000002</v>
      </c>
      <c r="I79" s="465"/>
    </row>
    <row r="80" ht="15" customHeight="1">
      <c r="D80" s="38"/>
    </row>
    <row r="81" spans="3:4" ht="15" customHeight="1">
      <c r="C81" s="38" t="s">
        <v>242</v>
      </c>
      <c r="D81" s="38"/>
    </row>
    <row r="82" ht="15" customHeight="1">
      <c r="D82" s="38"/>
    </row>
    <row r="83" spans="4:6" ht="15" customHeight="1">
      <c r="D83" s="47"/>
      <c r="E83" s="47" t="s">
        <v>254</v>
      </c>
      <c r="F83" s="48">
        <f>F68+1</f>
        <v>3</v>
      </c>
    </row>
    <row r="84" ht="15" customHeight="1">
      <c r="D84" s="38"/>
    </row>
    <row r="85" spans="1:9" ht="15" customHeight="1">
      <c r="A85" s="43" t="s">
        <v>86</v>
      </c>
      <c r="D85" s="38"/>
      <c r="G85" s="49">
        <f>'dsga ricost'!F273</f>
        <v>19</v>
      </c>
      <c r="H85" s="38" t="s">
        <v>79</v>
      </c>
      <c r="I85" s="44"/>
    </row>
    <row r="86" spans="1:9" ht="15" customHeight="1">
      <c r="A86" s="38" t="s">
        <v>341</v>
      </c>
      <c r="D86" s="38"/>
      <c r="E86" s="49"/>
      <c r="F86" s="42" t="s">
        <v>147</v>
      </c>
      <c r="G86" s="42" t="str">
        <f>'dsga ricost'!I275</f>
        <v>15-20</v>
      </c>
      <c r="I86" s="44"/>
    </row>
    <row r="87" spans="1:9" ht="15" customHeight="1">
      <c r="A87" s="38">
        <f>IF('dsga ricost'!$H$8=1,"","PROFES.LE DOC. CORRISPONDENTE ALLA")</f>
      </c>
      <c r="D87" s="38"/>
      <c r="F87" s="485">
        <f>IF('dsga ricost'!$H$8=1,"",'dsga ricost'!D279)</f>
      </c>
      <c r="G87" s="38">
        <f>IF('dsga ricost'!$H$8=1,"","FASCIA NELLA TAB. 4 ANNESSA AL CITATO CCNL.")</f>
      </c>
      <c r="I87" s="44"/>
    </row>
    <row r="88" spans="1:9" ht="15" customHeight="1">
      <c r="A88" s="38" t="s">
        <v>9</v>
      </c>
      <c r="D88" s="38"/>
      <c r="E88" s="49"/>
      <c r="I88" s="44"/>
    </row>
    <row r="89" spans="4:9" ht="15" customHeight="1">
      <c r="D89" s="38"/>
      <c r="E89" s="49"/>
      <c r="I89" s="44"/>
    </row>
    <row r="90" spans="1:4" ht="15" customHeight="1">
      <c r="A90" s="38" t="s">
        <v>246</v>
      </c>
      <c r="D90" s="38"/>
    </row>
    <row r="91" ht="15" customHeight="1">
      <c r="D91" s="38"/>
    </row>
    <row r="92" spans="2:6" ht="15" customHeight="1">
      <c r="B92" s="38" t="s">
        <v>80</v>
      </c>
      <c r="D92" s="38"/>
      <c r="F92" s="466">
        <f>'dsga ricost'!E278</f>
        <v>24774.81</v>
      </c>
    </row>
    <row r="93" spans="2:6" ht="15" customHeight="1">
      <c r="B93" s="38" t="s">
        <v>297</v>
      </c>
      <c r="D93" s="38"/>
      <c r="F93" s="466">
        <f>'dsga ricost'!E279</f>
        <v>647.79</v>
      </c>
    </row>
    <row r="94" spans="2:6" ht="15" customHeight="1" thickBot="1">
      <c r="B94" s="38" t="s">
        <v>72</v>
      </c>
      <c r="D94" s="38"/>
      <c r="F94" s="467">
        <f>'dsga ricost'!E280</f>
        <v>113.64000000000001</v>
      </c>
    </row>
    <row r="95" spans="1:11" s="66" customFormat="1" ht="14.25" customHeight="1" thickTop="1">
      <c r="A95" s="38"/>
      <c r="B95" s="38"/>
      <c r="C95" s="38"/>
      <c r="D95" s="38"/>
      <c r="E95" s="38" t="s">
        <v>188</v>
      </c>
      <c r="F95" s="468">
        <f>SUM(F92:F94)</f>
        <v>25536.24</v>
      </c>
      <c r="G95" s="38"/>
      <c r="H95" s="38"/>
      <c r="I95" s="465"/>
      <c r="J95" s="68"/>
      <c r="K95" s="68"/>
    </row>
    <row r="96" spans="1:11" s="66" customFormat="1" ht="14.25" customHeight="1">
      <c r="A96" s="38"/>
      <c r="B96" s="38"/>
      <c r="C96" s="38" t="s">
        <v>242</v>
      </c>
      <c r="D96" s="38"/>
      <c r="E96" s="38"/>
      <c r="F96" s="466"/>
      <c r="G96" s="38"/>
      <c r="H96" s="38"/>
      <c r="I96" s="38"/>
      <c r="J96" s="68"/>
      <c r="K96" s="68"/>
    </row>
    <row r="97" spans="1:11" s="66" customFormat="1" ht="14.25" customHeight="1">
      <c r="A97" s="38"/>
      <c r="B97" s="38"/>
      <c r="C97" s="38"/>
      <c r="D97" s="38"/>
      <c r="E97" s="38"/>
      <c r="F97" s="466"/>
      <c r="G97" s="38"/>
      <c r="H97" s="38"/>
      <c r="I97" s="38"/>
      <c r="J97" s="68"/>
      <c r="K97" s="68"/>
    </row>
    <row r="98" spans="1:11" s="66" customFormat="1" ht="15" customHeight="1">
      <c r="A98" s="38"/>
      <c r="B98" s="38"/>
      <c r="C98" s="38"/>
      <c r="D98" s="47"/>
      <c r="E98" s="47" t="s">
        <v>254</v>
      </c>
      <c r="F98" s="48">
        <f>F83+1</f>
        <v>4</v>
      </c>
      <c r="G98" s="38"/>
      <c r="H98" s="38"/>
      <c r="I98" s="38"/>
      <c r="J98" s="68"/>
      <c r="K98" s="68"/>
    </row>
    <row r="99" spans="1:11" s="66" customFormat="1" ht="15" customHeight="1">
      <c r="A99" s="38"/>
      <c r="B99" s="38"/>
      <c r="C99" s="38"/>
      <c r="D99" s="38"/>
      <c r="E99" s="38"/>
      <c r="F99" s="38"/>
      <c r="G99" s="38"/>
      <c r="H99" s="38"/>
      <c r="I99" s="38"/>
      <c r="J99" s="68"/>
      <c r="K99" s="68"/>
    </row>
    <row r="100" spans="1:9" s="66" customFormat="1" ht="15" customHeight="1">
      <c r="A100" s="43" t="s">
        <v>87</v>
      </c>
      <c r="B100" s="38"/>
      <c r="C100" s="38"/>
      <c r="D100" s="38"/>
      <c r="E100" s="38"/>
      <c r="G100" s="49">
        <f>'dsga ricost'!F289</f>
        <v>20</v>
      </c>
      <c r="H100" s="38" t="s">
        <v>76</v>
      </c>
      <c r="I100" s="44"/>
    </row>
    <row r="101" spans="1:9" s="66" customFormat="1" ht="15" customHeight="1">
      <c r="A101" s="38" t="s">
        <v>361</v>
      </c>
      <c r="B101" s="38"/>
      <c r="C101" s="38"/>
      <c r="D101" s="38"/>
      <c r="E101" s="49"/>
      <c r="F101" s="42" t="s">
        <v>147</v>
      </c>
      <c r="G101" s="42" t="str">
        <f>'dsga ricost'!I291</f>
        <v>15-20</v>
      </c>
      <c r="H101" s="38"/>
      <c r="I101" s="44"/>
    </row>
    <row r="102" spans="1:9" s="66" customFormat="1" ht="15" customHeight="1">
      <c r="A102" s="38">
        <f>IF('dsga ricost'!$H$8=1,"","PROFES.LE DOC. CORRISPONDENTE ALLA")</f>
      </c>
      <c r="B102" s="38"/>
      <c r="C102" s="38"/>
      <c r="D102" s="38"/>
      <c r="F102" s="485">
        <f>IF('dsga ricost'!$H$8=1,"",'dsga ricost'!D295)</f>
      </c>
      <c r="G102" s="38">
        <f>IF('dsga ricost'!$H$8=1,"","FASCIA NELLA TAB. 4 ANNESSA AL CITATO CCNL.")</f>
      </c>
      <c r="H102" s="38"/>
      <c r="I102" s="44"/>
    </row>
    <row r="103" spans="1:9" s="66" customFormat="1" ht="15" customHeight="1">
      <c r="A103" s="38" t="s">
        <v>9</v>
      </c>
      <c r="B103" s="38"/>
      <c r="C103" s="38"/>
      <c r="D103" s="38"/>
      <c r="E103" s="49"/>
      <c r="F103" s="38"/>
      <c r="G103" s="38"/>
      <c r="H103" s="38"/>
      <c r="I103" s="44"/>
    </row>
    <row r="104" spans="1:9" s="66" customFormat="1" ht="15" customHeight="1">
      <c r="A104" s="38"/>
      <c r="B104" s="38"/>
      <c r="C104" s="38"/>
      <c r="D104" s="38"/>
      <c r="E104" s="49"/>
      <c r="F104" s="38"/>
      <c r="G104" s="38"/>
      <c r="H104" s="38"/>
      <c r="I104" s="44"/>
    </row>
    <row r="105" spans="1:9" s="66" customFormat="1" ht="15" customHeight="1">
      <c r="A105" s="38" t="s">
        <v>246</v>
      </c>
      <c r="B105" s="38"/>
      <c r="C105" s="38"/>
      <c r="D105" s="38"/>
      <c r="E105" s="38"/>
      <c r="F105" s="38"/>
      <c r="G105" s="38"/>
      <c r="H105" s="38"/>
      <c r="I105" s="38"/>
    </row>
    <row r="106" spans="1:9" s="66" customFormat="1" ht="15" customHeight="1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s="66" customFormat="1" ht="15" customHeight="1">
      <c r="A107" s="38"/>
      <c r="B107" s="38" t="s">
        <v>80</v>
      </c>
      <c r="D107" s="38"/>
      <c r="E107" s="38"/>
      <c r="F107" s="466">
        <f>'dsga ricost'!E294</f>
        <v>25357.77</v>
      </c>
      <c r="G107" s="38"/>
      <c r="H107" s="38"/>
      <c r="I107" s="38"/>
    </row>
    <row r="108" spans="1:11" s="66" customFormat="1" ht="15" customHeight="1">
      <c r="A108" s="38"/>
      <c r="B108" s="38" t="s">
        <v>297</v>
      </c>
      <c r="D108" s="38"/>
      <c r="E108" s="38"/>
      <c r="F108" s="466">
        <f>'dsga ricost'!E295</f>
        <v>647.79</v>
      </c>
      <c r="G108" s="38"/>
      <c r="H108" s="38"/>
      <c r="I108" s="38"/>
      <c r="J108" s="68"/>
      <c r="K108" s="68"/>
    </row>
    <row r="109" spans="1:11" s="66" customFormat="1" ht="15" customHeight="1" thickBot="1">
      <c r="A109" s="38"/>
      <c r="B109" s="38" t="s">
        <v>81</v>
      </c>
      <c r="D109" s="38"/>
      <c r="E109" s="38"/>
      <c r="F109" s="467">
        <f>'dsga ricost'!E296</f>
        <v>582.96</v>
      </c>
      <c r="G109" s="38"/>
      <c r="H109" s="38"/>
      <c r="I109" s="38"/>
      <c r="J109" s="68"/>
      <c r="K109" s="68"/>
    </row>
    <row r="110" spans="1:11" s="66" customFormat="1" ht="15" customHeight="1" thickTop="1">
      <c r="A110" s="38"/>
      <c r="B110" s="38"/>
      <c r="C110" s="38"/>
      <c r="D110" s="38"/>
      <c r="E110" s="38" t="s">
        <v>188</v>
      </c>
      <c r="F110" s="468">
        <f>SUM(F107:F109)</f>
        <v>26588.52</v>
      </c>
      <c r="G110" s="38"/>
      <c r="H110" s="38"/>
      <c r="I110" s="465"/>
      <c r="J110" s="68"/>
      <c r="K110" s="68"/>
    </row>
    <row r="111" spans="1:11" s="66" customFormat="1" ht="15" customHeight="1">
      <c r="A111" s="38"/>
      <c r="B111" s="38"/>
      <c r="C111" s="38" t="s">
        <v>242</v>
      </c>
      <c r="D111" s="38"/>
      <c r="E111" s="38"/>
      <c r="F111" s="38"/>
      <c r="G111" s="38"/>
      <c r="H111" s="38"/>
      <c r="I111" s="38"/>
      <c r="J111" s="68"/>
      <c r="K111" s="68"/>
    </row>
    <row r="112" spans="1:11" s="66" customFormat="1" ht="1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68"/>
      <c r="K112" s="68"/>
    </row>
    <row r="113" spans="1:11" s="66" customFormat="1" ht="15" customHeight="1">
      <c r="A113" s="38"/>
      <c r="B113" s="38"/>
      <c r="C113" s="38"/>
      <c r="D113" s="38"/>
      <c r="E113" s="47" t="s">
        <v>254</v>
      </c>
      <c r="F113" s="48">
        <f>F98+1</f>
        <v>5</v>
      </c>
      <c r="G113" s="38"/>
      <c r="H113" s="38"/>
      <c r="I113" s="38"/>
      <c r="J113" s="68"/>
      <c r="K113" s="68"/>
    </row>
    <row r="114" spans="1:11" s="66" customFormat="1" ht="1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68"/>
      <c r="K114" s="68"/>
    </row>
    <row r="115" spans="1:11" s="66" customFormat="1" ht="15" customHeight="1">
      <c r="A115" s="43" t="s">
        <v>88</v>
      </c>
      <c r="B115" s="38"/>
      <c r="C115" s="38"/>
      <c r="D115" s="38"/>
      <c r="E115" s="38"/>
      <c r="G115" s="49">
        <f>'dsga ricost'!F304</f>
        <v>21</v>
      </c>
      <c r="H115" s="38" t="s">
        <v>24</v>
      </c>
      <c r="I115" s="44"/>
      <c r="J115" s="68"/>
      <c r="K115" s="68"/>
    </row>
    <row r="116" spans="1:11" s="66" customFormat="1" ht="15" customHeight="1">
      <c r="A116" s="38" t="s">
        <v>361</v>
      </c>
      <c r="B116" s="38"/>
      <c r="C116" s="38"/>
      <c r="D116" s="38"/>
      <c r="E116" s="49"/>
      <c r="F116" s="42" t="s">
        <v>147</v>
      </c>
      <c r="G116" s="42" t="str">
        <f>'dsga ricost'!I306</f>
        <v>21-27</v>
      </c>
      <c r="H116" s="38"/>
      <c r="I116" s="44"/>
      <c r="J116" s="68"/>
      <c r="K116" s="68"/>
    </row>
    <row r="117" spans="1:11" s="66" customFormat="1" ht="15" customHeight="1">
      <c r="A117" s="38">
        <f>IF('dsga ricost'!$H$8=1,"","PROFES.LE DOC. CORRISPONDENTE ALLA")</f>
      </c>
      <c r="B117" s="38"/>
      <c r="C117" s="38"/>
      <c r="D117" s="38"/>
      <c r="F117" s="485">
        <f>IF('dsga ricost'!$H$8=1,"",'dsga ricost'!D310)</f>
      </c>
      <c r="G117" s="38">
        <f>IF('dsga ricost'!$H$8=1,"","FASCIA NELLA TAB. 4 ANNESSA AL CITATO CCNL.")</f>
      </c>
      <c r="H117" s="38"/>
      <c r="I117" s="44"/>
      <c r="J117" s="68"/>
      <c r="K117" s="68"/>
    </row>
    <row r="118" spans="1:11" s="66" customFormat="1" ht="15" customHeight="1">
      <c r="A118" s="38" t="s">
        <v>9</v>
      </c>
      <c r="B118" s="38"/>
      <c r="C118" s="38"/>
      <c r="D118" s="38"/>
      <c r="E118" s="49"/>
      <c r="F118" s="38"/>
      <c r="G118" s="38"/>
      <c r="H118" s="38"/>
      <c r="I118" s="44"/>
      <c r="J118" s="68"/>
      <c r="K118" s="68"/>
    </row>
    <row r="119" spans="1:9" s="66" customFormat="1" ht="15" customHeight="1">
      <c r="A119" s="38"/>
      <c r="B119" s="38"/>
      <c r="C119" s="38"/>
      <c r="D119" s="38"/>
      <c r="E119" s="49"/>
      <c r="F119" s="38"/>
      <c r="G119" s="38"/>
      <c r="H119" s="38"/>
      <c r="I119" s="44"/>
    </row>
    <row r="120" spans="1:9" s="66" customFormat="1" ht="15" customHeight="1">
      <c r="A120" s="38" t="s">
        <v>246</v>
      </c>
      <c r="B120" s="38"/>
      <c r="C120" s="38"/>
      <c r="D120" s="38"/>
      <c r="E120" s="38"/>
      <c r="F120" s="38"/>
      <c r="G120" s="38"/>
      <c r="H120" s="38"/>
      <c r="I120" s="38"/>
    </row>
    <row r="121" spans="1:9" s="66" customFormat="1" ht="15" customHeight="1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s="66" customFormat="1" ht="15" customHeight="1">
      <c r="A122" s="38"/>
      <c r="B122" s="38" t="s">
        <v>80</v>
      </c>
      <c r="D122" s="38"/>
      <c r="E122" s="38"/>
      <c r="F122" s="466">
        <f>'dsga ricost'!E309</f>
        <v>28438.18</v>
      </c>
      <c r="G122" s="38"/>
      <c r="H122" s="38"/>
      <c r="I122" s="38"/>
    </row>
    <row r="123" spans="1:9" s="66" customFormat="1" ht="15" customHeight="1" thickBot="1">
      <c r="A123" s="38"/>
      <c r="B123" s="38" t="s">
        <v>297</v>
      </c>
      <c r="D123" s="38"/>
      <c r="E123" s="38"/>
      <c r="F123" s="467">
        <f>'dsga ricost'!E310</f>
        <v>0</v>
      </c>
      <c r="G123" s="38"/>
      <c r="H123" s="38"/>
      <c r="I123" s="38"/>
    </row>
    <row r="124" spans="1:9" s="66" customFormat="1" ht="18.75" customHeight="1" thickTop="1">
      <c r="A124" s="38"/>
      <c r="B124" s="38"/>
      <c r="C124" s="38"/>
      <c r="D124" s="38"/>
      <c r="E124" s="38" t="s">
        <v>188</v>
      </c>
      <c r="F124" s="468">
        <f>SUM(F122:F123)</f>
        <v>28438.18</v>
      </c>
      <c r="G124" s="38"/>
      <c r="H124" s="38"/>
      <c r="I124" s="465"/>
    </row>
    <row r="125" spans="1:9" s="66" customFormat="1" ht="19.5" customHeight="1">
      <c r="A125" s="38"/>
      <c r="B125" s="38"/>
      <c r="C125" s="38" t="s">
        <v>242</v>
      </c>
      <c r="D125" s="38"/>
      <c r="E125" s="38"/>
      <c r="F125" s="38"/>
      <c r="G125" s="38"/>
      <c r="H125" s="38"/>
      <c r="I125" s="38"/>
    </row>
    <row r="126" spans="1:9" s="66" customFormat="1" ht="15.75" customHeight="1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11" s="66" customFormat="1" ht="15.75" customHeight="1">
      <c r="A127" s="38"/>
      <c r="B127" s="38"/>
      <c r="C127" s="38"/>
      <c r="D127" s="38"/>
      <c r="E127" s="47" t="s">
        <v>254</v>
      </c>
      <c r="F127" s="48">
        <f>F113+1</f>
        <v>6</v>
      </c>
      <c r="G127" s="38"/>
      <c r="H127" s="38"/>
      <c r="I127" s="38"/>
      <c r="J127" s="68"/>
      <c r="K127" s="68"/>
    </row>
    <row r="128" spans="1:11" s="66" customFormat="1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68"/>
      <c r="K128" s="68"/>
    </row>
    <row r="129" spans="1:11" s="66" customFormat="1" ht="15.75" customHeight="1">
      <c r="A129" s="43" t="s">
        <v>342</v>
      </c>
      <c r="B129" s="38"/>
      <c r="C129" s="38"/>
      <c r="D129" s="38"/>
      <c r="E129" s="38"/>
      <c r="G129" s="49">
        <f>'dsga ricost'!F318</f>
        <v>21</v>
      </c>
      <c r="H129" s="38" t="s">
        <v>24</v>
      </c>
      <c r="I129" s="44"/>
      <c r="J129" s="68"/>
      <c r="K129" s="68"/>
    </row>
    <row r="130" spans="1:11" s="66" customFormat="1" ht="15.75" customHeight="1">
      <c r="A130" s="38" t="s">
        <v>343</v>
      </c>
      <c r="B130" s="38"/>
      <c r="C130" s="38"/>
      <c r="D130" s="38"/>
      <c r="E130" s="49"/>
      <c r="F130" s="42" t="s">
        <v>147</v>
      </c>
      <c r="G130" s="42" t="str">
        <f>'dsga ricost'!I320</f>
        <v>21-27</v>
      </c>
      <c r="H130" s="38"/>
      <c r="I130" s="44"/>
      <c r="J130" s="68"/>
      <c r="K130" s="68"/>
    </row>
    <row r="131" spans="1:11" s="66" customFormat="1" ht="6" customHeight="1">
      <c r="A131" s="38">
        <f>IF('dsga ricost'!$H$8=1,"","PROFES.LE DOC. CORRISPONDENTE ALLA")</f>
      </c>
      <c r="B131" s="38"/>
      <c r="C131" s="38"/>
      <c r="D131" s="38"/>
      <c r="F131" s="485">
        <f>IF('dsga ricost'!$H$8=1,"",'dsga ricost'!D325)</f>
      </c>
      <c r="G131" s="38">
        <f>IF('dsga ricost'!$H$8=1,"","FASCIA NELLA TAB. 4 ANNESSA AL CITATO CCNL.")</f>
      </c>
      <c r="H131" s="38"/>
      <c r="I131" s="44"/>
      <c r="J131" s="68"/>
      <c r="K131" s="68"/>
    </row>
    <row r="132" spans="1:11" s="66" customFormat="1" ht="15.75" customHeight="1">
      <c r="A132" s="38" t="s">
        <v>9</v>
      </c>
      <c r="B132" s="38"/>
      <c r="C132" s="38"/>
      <c r="D132" s="38"/>
      <c r="E132" s="49"/>
      <c r="F132" s="38"/>
      <c r="G132" s="38"/>
      <c r="H132" s="38"/>
      <c r="I132" s="44"/>
      <c r="J132" s="68"/>
      <c r="K132" s="68"/>
    </row>
    <row r="133" spans="1:9" s="66" customFormat="1" ht="6.75" customHeight="1">
      <c r="A133" s="38"/>
      <c r="B133" s="38"/>
      <c r="C133" s="38"/>
      <c r="D133" s="38"/>
      <c r="E133" s="49"/>
      <c r="F133" s="38"/>
      <c r="G133" s="38"/>
      <c r="H133" s="38"/>
      <c r="I133" s="44"/>
    </row>
    <row r="134" spans="1:9" s="66" customFormat="1" ht="15.75" customHeight="1">
      <c r="A134" s="38" t="s">
        <v>246</v>
      </c>
      <c r="B134" s="38"/>
      <c r="C134" s="38"/>
      <c r="D134" s="38"/>
      <c r="E134" s="38"/>
      <c r="F134" s="38"/>
      <c r="G134" s="38"/>
      <c r="H134" s="38"/>
      <c r="I134" s="38"/>
    </row>
    <row r="135" spans="1:9" s="66" customFormat="1" ht="15.75" customHeight="1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s="66" customFormat="1" ht="15.75" customHeight="1">
      <c r="A136" s="38"/>
      <c r="B136" s="38" t="s">
        <v>80</v>
      </c>
      <c r="D136" s="38"/>
      <c r="E136" s="38"/>
      <c r="F136" s="466">
        <f>'dsga ricost'!E323</f>
        <v>28438.18</v>
      </c>
      <c r="G136" s="38"/>
      <c r="H136" s="38"/>
      <c r="I136" s="38"/>
    </row>
    <row r="137" spans="1:9" s="66" customFormat="1" ht="15.75" customHeight="1">
      <c r="A137" s="38"/>
      <c r="B137" s="38" t="s">
        <v>297</v>
      </c>
      <c r="D137" s="38"/>
      <c r="E137" s="38"/>
      <c r="F137" s="466">
        <f>'dsga ricost'!E324</f>
        <v>0</v>
      </c>
      <c r="G137" s="38"/>
      <c r="H137" s="38"/>
      <c r="I137" s="38"/>
    </row>
    <row r="138" spans="1:9" s="66" customFormat="1" ht="15.75" customHeight="1" thickBot="1">
      <c r="A138" s="38"/>
      <c r="B138" s="38" t="s">
        <v>345</v>
      </c>
      <c r="D138" s="38"/>
      <c r="E138" s="38"/>
      <c r="F138" s="467">
        <f>'dsga ricost'!E325</f>
        <v>108.47999999999999</v>
      </c>
      <c r="G138" s="38"/>
      <c r="H138" s="38"/>
      <c r="I138" s="38"/>
    </row>
    <row r="139" spans="1:9" s="66" customFormat="1" ht="15.75" customHeight="1" thickTop="1">
      <c r="A139" s="38"/>
      <c r="B139" s="38"/>
      <c r="C139" s="38"/>
      <c r="D139" s="38"/>
      <c r="E139" s="38" t="s">
        <v>188</v>
      </c>
      <c r="F139" s="468">
        <f>SUM(F136:F138)</f>
        <v>28546.66</v>
      </c>
      <c r="G139" s="38"/>
      <c r="H139" s="38"/>
      <c r="I139" s="465"/>
    </row>
    <row r="140" spans="1:9" s="66" customFormat="1" ht="15.75" customHeight="1">
      <c r="A140" s="38"/>
      <c r="B140" s="38"/>
      <c r="C140" s="38" t="s">
        <v>242</v>
      </c>
      <c r="D140" s="38"/>
      <c r="E140" s="38"/>
      <c r="F140" s="38"/>
      <c r="G140" s="38"/>
      <c r="H140" s="38"/>
      <c r="I140" s="38"/>
    </row>
    <row r="141" spans="1:9" s="66" customFormat="1" ht="15.75" customHeight="1">
      <c r="A141" s="38"/>
      <c r="B141" s="38"/>
      <c r="C141" s="38"/>
      <c r="D141" s="38"/>
      <c r="E141" s="38"/>
      <c r="F141" s="38"/>
      <c r="G141" s="38"/>
      <c r="H141" s="38"/>
      <c r="I141" s="38"/>
    </row>
    <row r="142" spans="1:11" s="66" customFormat="1" ht="15.75" customHeight="1">
      <c r="A142" s="38"/>
      <c r="B142" s="38"/>
      <c r="C142" s="38"/>
      <c r="D142" s="38"/>
      <c r="E142" s="47" t="s">
        <v>254</v>
      </c>
      <c r="F142" s="48">
        <v>7</v>
      </c>
      <c r="G142" s="38"/>
      <c r="H142" s="38"/>
      <c r="I142" s="38"/>
      <c r="J142" s="68"/>
      <c r="K142" s="68"/>
    </row>
    <row r="143" spans="1:11" s="66" customFormat="1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68"/>
      <c r="K143" s="68"/>
    </row>
    <row r="144" spans="1:11" s="66" customFormat="1" ht="15.75" customHeight="1">
      <c r="A144" s="43" t="s">
        <v>347</v>
      </c>
      <c r="B144" s="38"/>
      <c r="C144" s="38"/>
      <c r="D144" s="38"/>
      <c r="E144" s="38"/>
      <c r="G144" s="49">
        <f>'dsga ricost'!F333</f>
        <v>21</v>
      </c>
      <c r="H144" s="38" t="s">
        <v>24</v>
      </c>
      <c r="I144" s="44"/>
      <c r="J144" s="68"/>
      <c r="K144" s="68"/>
    </row>
    <row r="145" spans="1:11" s="66" customFormat="1" ht="15.75" customHeight="1">
      <c r="A145" s="38" t="s">
        <v>343</v>
      </c>
      <c r="B145" s="38"/>
      <c r="C145" s="38"/>
      <c r="D145" s="38"/>
      <c r="E145" s="49"/>
      <c r="F145" s="42" t="s">
        <v>147</v>
      </c>
      <c r="G145" s="42" t="str">
        <f>'dsga ricost'!I335</f>
        <v>21-27</v>
      </c>
      <c r="H145" s="38"/>
      <c r="I145" s="44"/>
      <c r="J145" s="68"/>
      <c r="K145" s="68"/>
    </row>
    <row r="146" spans="1:11" s="66" customFormat="1" ht="4.5" customHeight="1">
      <c r="A146" s="38">
        <f>IF('dsga ricost'!$H$8=1,"","PROFES.LE DOC. CORRISPONDENTE ALLA")</f>
      </c>
      <c r="B146" s="38"/>
      <c r="C146" s="38"/>
      <c r="D146" s="38"/>
      <c r="F146" s="485">
        <f>IF('dsga ricost'!$H$8=1,"",'dsga ricost'!D340)</f>
      </c>
      <c r="G146" s="38">
        <f>IF('dsga ricost'!$H$8=1,"","FASCIA NELLA TAB. 4 ANNESSA AL CITATO CCNL.")</f>
      </c>
      <c r="H146" s="38"/>
      <c r="I146" s="44"/>
      <c r="J146" s="68"/>
      <c r="K146" s="68"/>
    </row>
    <row r="147" spans="1:11" s="66" customFormat="1" ht="15.75" customHeight="1">
      <c r="A147" s="38" t="s">
        <v>9</v>
      </c>
      <c r="B147" s="38"/>
      <c r="C147" s="38"/>
      <c r="D147" s="38"/>
      <c r="E147" s="49"/>
      <c r="F147" s="38"/>
      <c r="G147" s="38"/>
      <c r="H147" s="38"/>
      <c r="I147" s="44"/>
      <c r="J147" s="68"/>
      <c r="K147" s="68"/>
    </row>
    <row r="148" spans="1:9" s="66" customFormat="1" ht="6.75" customHeight="1">
      <c r="A148" s="38"/>
      <c r="B148" s="38"/>
      <c r="C148" s="38"/>
      <c r="D148" s="38"/>
      <c r="E148" s="49"/>
      <c r="F148" s="38"/>
      <c r="G148" s="38"/>
      <c r="H148" s="38"/>
      <c r="I148" s="44"/>
    </row>
    <row r="149" spans="1:9" s="66" customFormat="1" ht="15.75" customHeight="1">
      <c r="A149" s="38" t="s">
        <v>246</v>
      </c>
      <c r="B149" s="38"/>
      <c r="C149" s="38"/>
      <c r="D149" s="38"/>
      <c r="E149" s="38"/>
      <c r="F149" s="38"/>
      <c r="G149" s="38"/>
      <c r="H149" s="38"/>
      <c r="I149" s="38"/>
    </row>
    <row r="150" spans="1:9" s="66" customFormat="1" ht="15.75" customHeight="1">
      <c r="A150" s="38"/>
      <c r="B150" s="38"/>
      <c r="C150" s="38"/>
      <c r="D150" s="38"/>
      <c r="E150" s="38"/>
      <c r="F150" s="38"/>
      <c r="G150" s="38"/>
      <c r="H150" s="38"/>
      <c r="I150" s="38"/>
    </row>
    <row r="151" spans="1:9" s="66" customFormat="1" ht="15.75" customHeight="1">
      <c r="A151" s="38"/>
      <c r="B151" s="38" t="s">
        <v>80</v>
      </c>
      <c r="D151" s="38"/>
      <c r="E151" s="38"/>
      <c r="F151" s="466">
        <f>'dsga ricost'!E338</f>
        <v>28438.18</v>
      </c>
      <c r="G151" s="38"/>
      <c r="H151" s="38"/>
      <c r="I151" s="38"/>
    </row>
    <row r="152" spans="1:9" s="66" customFormat="1" ht="15.75" customHeight="1">
      <c r="A152" s="38"/>
      <c r="B152" s="38" t="s">
        <v>297</v>
      </c>
      <c r="D152" s="38"/>
      <c r="E152" s="38"/>
      <c r="F152" s="466">
        <f>'dsga ricost'!E339</f>
        <v>0</v>
      </c>
      <c r="G152" s="38"/>
      <c r="H152" s="38"/>
      <c r="I152" s="38"/>
    </row>
    <row r="153" spans="1:9" s="66" customFormat="1" ht="15.75" customHeight="1" thickBot="1">
      <c r="A153" s="38"/>
      <c r="B153" s="38" t="s">
        <v>345</v>
      </c>
      <c r="D153" s="38"/>
      <c r="E153" s="38"/>
      <c r="F153" s="467">
        <f>'dsga ricost'!E340</f>
        <v>180.72</v>
      </c>
      <c r="G153" s="38"/>
      <c r="H153" s="38"/>
      <c r="I153" s="38"/>
    </row>
    <row r="154" spans="1:9" s="66" customFormat="1" ht="15.75" customHeight="1" thickTop="1">
      <c r="A154" s="38"/>
      <c r="B154" s="38"/>
      <c r="C154" s="38"/>
      <c r="D154" s="38"/>
      <c r="E154" s="38" t="s">
        <v>188</v>
      </c>
      <c r="F154" s="468">
        <f>SUM(F151:F153)</f>
        <v>28618.9</v>
      </c>
      <c r="G154" s="38"/>
      <c r="H154" s="38"/>
      <c r="I154" s="465"/>
    </row>
    <row r="155" spans="1:9" s="66" customFormat="1" ht="15.75" customHeight="1">
      <c r="A155" s="38"/>
      <c r="B155" s="38"/>
      <c r="C155" s="38" t="s">
        <v>242</v>
      </c>
      <c r="D155" s="38"/>
      <c r="E155" s="38"/>
      <c r="F155" s="38"/>
      <c r="G155" s="38"/>
      <c r="H155" s="38"/>
      <c r="I155" s="38"/>
    </row>
    <row r="156" spans="1:9" s="66" customFormat="1" ht="15.75" customHeight="1">
      <c r="A156" s="38"/>
      <c r="B156" s="38"/>
      <c r="C156" s="38"/>
      <c r="D156" s="38"/>
      <c r="E156" s="38"/>
      <c r="F156" s="38"/>
      <c r="G156" s="38"/>
      <c r="H156" s="38"/>
      <c r="I156" s="38"/>
    </row>
    <row r="157" spans="1:11" s="66" customFormat="1" ht="15.75" customHeight="1">
      <c r="A157" s="38"/>
      <c r="B157" s="38"/>
      <c r="C157" s="38"/>
      <c r="D157" s="38"/>
      <c r="E157" s="47" t="s">
        <v>254</v>
      </c>
      <c r="F157" s="48">
        <v>8</v>
      </c>
      <c r="G157" s="38"/>
      <c r="H157" s="38"/>
      <c r="I157" s="38"/>
      <c r="J157" s="68"/>
      <c r="K157" s="68"/>
    </row>
    <row r="158" spans="1:11" s="66" customFormat="1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68"/>
      <c r="K158" s="68"/>
    </row>
    <row r="159" spans="1:11" s="66" customFormat="1" ht="15.75" customHeight="1">
      <c r="A159" s="43" t="s">
        <v>349</v>
      </c>
      <c r="B159" s="38"/>
      <c r="C159" s="38"/>
      <c r="D159" s="38"/>
      <c r="E159" s="38"/>
      <c r="G159" s="49">
        <f>'dsga ricost'!F363</f>
        <v>23</v>
      </c>
      <c r="H159" s="38" t="s">
        <v>24</v>
      </c>
      <c r="I159" s="44"/>
      <c r="J159" s="68"/>
      <c r="K159" s="68"/>
    </row>
    <row r="160" spans="1:11" s="66" customFormat="1" ht="15.75" customHeight="1">
      <c r="A160" s="38" t="s">
        <v>343</v>
      </c>
      <c r="B160" s="38"/>
      <c r="C160" s="38"/>
      <c r="D160" s="38"/>
      <c r="E160" s="49"/>
      <c r="F160" s="42" t="s">
        <v>147</v>
      </c>
      <c r="G160" s="42" t="str">
        <f>'dsga ricost'!I350</f>
        <v>21-27</v>
      </c>
      <c r="H160" s="38"/>
      <c r="I160" s="44"/>
      <c r="J160" s="68"/>
      <c r="K160" s="68"/>
    </row>
    <row r="161" spans="1:11" s="66" customFormat="1" ht="3" customHeight="1">
      <c r="A161" s="38">
        <f>IF('dsga ricost'!$H$8=1,"","PROFES.LE DOC. CORRISPONDENTE ALLA")</f>
      </c>
      <c r="B161" s="38"/>
      <c r="C161" s="38"/>
      <c r="D161" s="38"/>
      <c r="F161" s="485">
        <f>IF('dsga ricost'!$H$8=1,"",'dsga ricost'!D355)</f>
      </c>
      <c r="G161" s="38">
        <f>IF('dsga ricost'!$H$8=1,"","FASCIA NELLA TAB. 4 ANNESSA AL CITATO CCNL.")</f>
      </c>
      <c r="H161" s="38"/>
      <c r="I161" s="44"/>
      <c r="J161" s="68"/>
      <c r="K161" s="68"/>
    </row>
    <row r="162" spans="1:11" s="66" customFormat="1" ht="15.75" customHeight="1">
      <c r="A162" s="38" t="s">
        <v>9</v>
      </c>
      <c r="B162" s="38"/>
      <c r="C162" s="38"/>
      <c r="D162" s="38"/>
      <c r="E162" s="49"/>
      <c r="F162" s="38"/>
      <c r="G162" s="38"/>
      <c r="H162" s="38"/>
      <c r="I162" s="44"/>
      <c r="J162" s="68"/>
      <c r="K162" s="68"/>
    </row>
    <row r="163" spans="1:9" s="66" customFormat="1" ht="3" customHeight="1">
      <c r="A163" s="38"/>
      <c r="B163" s="38"/>
      <c r="C163" s="38"/>
      <c r="D163" s="38"/>
      <c r="E163" s="49"/>
      <c r="F163" s="38"/>
      <c r="G163" s="38"/>
      <c r="H163" s="38"/>
      <c r="I163" s="44"/>
    </row>
    <row r="164" spans="1:9" s="66" customFormat="1" ht="15.75" customHeight="1">
      <c r="A164" s="38" t="s">
        <v>246</v>
      </c>
      <c r="B164" s="38"/>
      <c r="C164" s="38"/>
      <c r="D164" s="38"/>
      <c r="E164" s="38"/>
      <c r="F164" s="38"/>
      <c r="G164" s="38"/>
      <c r="H164" s="38"/>
      <c r="I164" s="38"/>
    </row>
    <row r="165" spans="1:9" s="66" customFormat="1" ht="15.75" customHeight="1">
      <c r="A165" s="38"/>
      <c r="B165" s="38"/>
      <c r="C165" s="38"/>
      <c r="D165" s="38"/>
      <c r="E165" s="38"/>
      <c r="F165" s="38"/>
      <c r="G165" s="38"/>
      <c r="H165" s="38"/>
      <c r="I165" s="38"/>
    </row>
    <row r="166" spans="1:9" s="66" customFormat="1" ht="15.75" customHeight="1">
      <c r="A166" s="38"/>
      <c r="B166" s="38" t="s">
        <v>80</v>
      </c>
      <c r="D166" s="38"/>
      <c r="E166" s="38"/>
      <c r="F166" s="466">
        <f>'dsga ricost'!E353</f>
        <v>28438.18</v>
      </c>
      <c r="G166" s="38"/>
      <c r="H166" s="38"/>
      <c r="I166" s="38"/>
    </row>
    <row r="167" spans="1:9" s="66" customFormat="1" ht="15.75" customHeight="1">
      <c r="A167" s="38"/>
      <c r="B167" s="38" t="s">
        <v>297</v>
      </c>
      <c r="D167" s="38"/>
      <c r="E167" s="38"/>
      <c r="F167" s="466">
        <f>'dsga ricost'!E354</f>
        <v>0</v>
      </c>
      <c r="G167" s="38"/>
      <c r="H167" s="38"/>
      <c r="I167" s="38"/>
    </row>
    <row r="168" spans="1:9" s="66" customFormat="1" ht="15.75" customHeight="1" thickBot="1">
      <c r="A168" s="38"/>
      <c r="B168" s="38" t="s">
        <v>345</v>
      </c>
      <c r="D168" s="38"/>
      <c r="E168" s="38"/>
      <c r="F168" s="467">
        <f>'dsga ricost'!E355</f>
        <v>1079.16</v>
      </c>
      <c r="G168" s="38"/>
      <c r="H168" s="38"/>
      <c r="I168" s="38"/>
    </row>
    <row r="169" spans="1:9" s="66" customFormat="1" ht="15.75" customHeight="1" thickTop="1">
      <c r="A169" s="38"/>
      <c r="B169" s="38"/>
      <c r="C169" s="38"/>
      <c r="D169" s="38"/>
      <c r="E169" s="38" t="s">
        <v>188</v>
      </c>
      <c r="F169" s="468">
        <f>SUM(F166:F168)</f>
        <v>29517.34</v>
      </c>
      <c r="G169" s="38"/>
      <c r="H169" s="38"/>
      <c r="I169" s="465"/>
    </row>
    <row r="170" spans="1:9" s="66" customFormat="1" ht="15.75" customHeight="1">
      <c r="A170" s="38"/>
      <c r="B170" s="38"/>
      <c r="C170" s="38" t="s">
        <v>242</v>
      </c>
      <c r="D170" s="38"/>
      <c r="E170" s="38"/>
      <c r="F170" s="38"/>
      <c r="G170" s="38"/>
      <c r="H170" s="38"/>
      <c r="I170" s="38"/>
    </row>
    <row r="171" spans="1:9" s="66" customFormat="1" ht="15.75" customHeight="1">
      <c r="A171" s="38"/>
      <c r="B171" s="38"/>
      <c r="C171" s="38"/>
      <c r="D171" s="38"/>
      <c r="E171" s="38"/>
      <c r="F171" s="38"/>
      <c r="G171" s="38"/>
      <c r="H171" s="38"/>
      <c r="I171" s="38"/>
    </row>
    <row r="172" spans="1:11" s="66" customFormat="1" ht="15.75" customHeight="1">
      <c r="A172" s="38"/>
      <c r="B172" s="38"/>
      <c r="C172" s="38"/>
      <c r="D172" s="38"/>
      <c r="E172" s="47" t="s">
        <v>254</v>
      </c>
      <c r="F172" s="48">
        <v>9</v>
      </c>
      <c r="G172" s="38"/>
      <c r="H172" s="38"/>
      <c r="I172" s="38"/>
      <c r="J172" s="68"/>
      <c r="K172" s="68"/>
    </row>
    <row r="173" spans="1:11" s="66" customFormat="1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68"/>
      <c r="K173" s="68"/>
    </row>
    <row r="174" spans="1:11" s="66" customFormat="1" ht="15.75" customHeight="1">
      <c r="A174" s="43" t="s">
        <v>350</v>
      </c>
      <c r="B174" s="38"/>
      <c r="C174" s="38"/>
      <c r="D174" s="38"/>
      <c r="E174" s="38"/>
      <c r="G174" s="49">
        <f>'dsga ricost'!F363</f>
        <v>23</v>
      </c>
      <c r="H174" s="38" t="s">
        <v>24</v>
      </c>
      <c r="I174" s="44"/>
      <c r="J174" s="68"/>
      <c r="K174" s="68"/>
    </row>
    <row r="175" spans="1:11" s="66" customFormat="1" ht="15.75" customHeight="1">
      <c r="A175" s="38" t="s">
        <v>343</v>
      </c>
      <c r="B175" s="38"/>
      <c r="C175" s="38"/>
      <c r="D175" s="38"/>
      <c r="E175" s="49"/>
      <c r="F175" s="42" t="s">
        <v>147</v>
      </c>
      <c r="G175" s="42" t="str">
        <f>'dsga ricost'!I365</f>
        <v>21-27</v>
      </c>
      <c r="H175" s="38"/>
      <c r="I175" s="44"/>
      <c r="J175" s="68"/>
      <c r="K175" s="68"/>
    </row>
    <row r="176" spans="1:9" s="66" customFormat="1" ht="15.75" customHeight="1">
      <c r="A176" s="38" t="s">
        <v>246</v>
      </c>
      <c r="B176" s="38"/>
      <c r="C176" s="38"/>
      <c r="D176" s="38"/>
      <c r="E176" s="38"/>
      <c r="F176" s="38"/>
      <c r="G176" s="38"/>
      <c r="H176" s="38"/>
      <c r="I176" s="38"/>
    </row>
    <row r="177" spans="1:9" s="66" customFormat="1" ht="15.75" customHeight="1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s="66" customFormat="1" ht="15.75" customHeight="1">
      <c r="A178" s="38"/>
      <c r="B178" s="38" t="s">
        <v>80</v>
      </c>
      <c r="D178" s="38"/>
      <c r="E178" s="38"/>
      <c r="F178" s="466">
        <f>'dsga ricost'!E368</f>
        <v>29517.34</v>
      </c>
      <c r="G178" s="38"/>
      <c r="H178" s="38"/>
      <c r="I178" s="38"/>
    </row>
    <row r="179" spans="1:9" s="66" customFormat="1" ht="15.75" customHeight="1">
      <c r="A179" s="38"/>
      <c r="B179" s="38" t="s">
        <v>297</v>
      </c>
      <c r="D179" s="38"/>
      <c r="E179" s="38"/>
      <c r="F179" s="466">
        <f>'dsga ricost'!E369</f>
        <v>0</v>
      </c>
      <c r="G179" s="38"/>
      <c r="H179" s="38"/>
      <c r="I179" s="38"/>
    </row>
    <row r="180" spans="1:9" s="66" customFormat="1" ht="15.75" customHeight="1" thickBot="1">
      <c r="A180" s="38"/>
      <c r="B180" s="38" t="s">
        <v>351</v>
      </c>
      <c r="D180" s="38"/>
      <c r="E180" s="38"/>
      <c r="F180" s="467">
        <f>'dsga ricost'!E370</f>
        <v>99.35999999999999</v>
      </c>
      <c r="G180" s="38"/>
      <c r="H180" s="38"/>
      <c r="I180" s="38"/>
    </row>
    <row r="181" spans="1:9" s="66" customFormat="1" ht="15.75" customHeight="1" thickTop="1">
      <c r="A181" s="38"/>
      <c r="B181" s="38"/>
      <c r="C181" s="38"/>
      <c r="D181" s="38"/>
      <c r="E181" s="38" t="s">
        <v>188</v>
      </c>
      <c r="F181" s="468">
        <f>SUM(F178:F180)</f>
        <v>29616.7</v>
      </c>
      <c r="G181" s="38"/>
      <c r="H181" s="38"/>
      <c r="I181" s="465"/>
    </row>
    <row r="182" spans="1:9" s="66" customFormat="1" ht="15.75" customHeight="1">
      <c r="A182" s="38"/>
      <c r="B182" s="38"/>
      <c r="C182" s="38" t="s">
        <v>242</v>
      </c>
      <c r="D182" s="38"/>
      <c r="E182" s="38"/>
      <c r="F182" s="38"/>
      <c r="G182" s="38"/>
      <c r="H182" s="38"/>
      <c r="I182" s="38"/>
    </row>
    <row r="183" spans="1:9" s="66" customFormat="1" ht="15.75" customHeight="1">
      <c r="A183" s="38"/>
      <c r="B183" s="38"/>
      <c r="C183" s="38"/>
      <c r="D183" s="38"/>
      <c r="E183" s="38"/>
      <c r="F183" s="38"/>
      <c r="G183" s="38"/>
      <c r="H183" s="38"/>
      <c r="I183" s="38"/>
    </row>
    <row r="184" spans="1:11" s="66" customFormat="1" ht="15.75" customHeight="1">
      <c r="A184" s="38"/>
      <c r="B184" s="38"/>
      <c r="C184" s="38"/>
      <c r="D184" s="38"/>
      <c r="E184" s="47" t="s">
        <v>254</v>
      </c>
      <c r="F184" s="48">
        <v>10</v>
      </c>
      <c r="G184" s="38"/>
      <c r="H184" s="38"/>
      <c r="I184" s="38"/>
      <c r="J184" s="68"/>
      <c r="K184" s="68"/>
    </row>
    <row r="185" spans="1:11" s="66" customFormat="1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68"/>
      <c r="K185" s="68"/>
    </row>
    <row r="186" spans="1:11" s="66" customFormat="1" ht="15.75" customHeight="1">
      <c r="A186" s="43" t="s">
        <v>352</v>
      </c>
      <c r="B186" s="38"/>
      <c r="C186" s="38"/>
      <c r="D186" s="38"/>
      <c r="E186" s="38"/>
      <c r="G186" s="49">
        <f>'dsga ricost'!F378</f>
        <v>23</v>
      </c>
      <c r="H186" s="38" t="s">
        <v>24</v>
      </c>
      <c r="I186" s="44"/>
      <c r="J186" s="68"/>
      <c r="K186" s="68"/>
    </row>
    <row r="187" spans="1:11" s="66" customFormat="1" ht="15.75" customHeight="1">
      <c r="A187" s="38" t="s">
        <v>343</v>
      </c>
      <c r="B187" s="38"/>
      <c r="C187" s="38"/>
      <c r="D187" s="38"/>
      <c r="E187" s="49"/>
      <c r="F187" s="42" t="s">
        <v>147</v>
      </c>
      <c r="G187" s="42" t="str">
        <f>'dsga ricost'!I380</f>
        <v>21-27</v>
      </c>
      <c r="H187" s="38"/>
      <c r="I187" s="44"/>
      <c r="J187" s="68"/>
      <c r="K187" s="68"/>
    </row>
    <row r="188" spans="1:9" s="66" customFormat="1" ht="15.75" customHeight="1">
      <c r="A188" s="38" t="s">
        <v>246</v>
      </c>
      <c r="B188" s="38"/>
      <c r="C188" s="38"/>
      <c r="D188" s="38"/>
      <c r="E188" s="38"/>
      <c r="F188" s="38"/>
      <c r="G188" s="38"/>
      <c r="H188" s="38"/>
      <c r="I188" s="38"/>
    </row>
    <row r="189" spans="1:9" s="66" customFormat="1" ht="15.75" customHeight="1">
      <c r="A189" s="38"/>
      <c r="B189" s="38"/>
      <c r="C189" s="38"/>
      <c r="D189" s="38"/>
      <c r="E189" s="38"/>
      <c r="F189" s="38"/>
      <c r="G189" s="38"/>
      <c r="H189" s="38"/>
      <c r="I189" s="38"/>
    </row>
    <row r="190" spans="1:9" s="66" customFormat="1" ht="15.75" customHeight="1">
      <c r="A190" s="38"/>
      <c r="B190" s="38" t="s">
        <v>80</v>
      </c>
      <c r="D190" s="38"/>
      <c r="E190" s="38"/>
      <c r="F190" s="466">
        <f>'dsga ricost'!E383</f>
        <v>29517.34</v>
      </c>
      <c r="G190" s="38"/>
      <c r="H190" s="38"/>
      <c r="I190" s="38"/>
    </row>
    <row r="191" spans="1:9" s="66" customFormat="1" ht="15.75" customHeight="1">
      <c r="A191" s="38"/>
      <c r="B191" s="38" t="s">
        <v>297</v>
      </c>
      <c r="D191" s="38"/>
      <c r="E191" s="38"/>
      <c r="F191" s="466">
        <f>'dsga ricost'!E384</f>
        <v>0</v>
      </c>
      <c r="G191" s="38"/>
      <c r="H191" s="38"/>
      <c r="I191" s="38"/>
    </row>
    <row r="192" spans="1:9" s="66" customFormat="1" ht="15.75" customHeight="1" thickBot="1">
      <c r="A192" s="38"/>
      <c r="B192" s="38" t="s">
        <v>351</v>
      </c>
      <c r="D192" s="38"/>
      <c r="E192" s="38"/>
      <c r="F192" s="467">
        <f>'dsga ricost'!E385</f>
        <v>165.60000000000002</v>
      </c>
      <c r="G192" s="38"/>
      <c r="H192" s="38"/>
      <c r="I192" s="38"/>
    </row>
    <row r="193" spans="1:9" s="66" customFormat="1" ht="15.75" customHeight="1" thickTop="1">
      <c r="A193" s="38"/>
      <c r="B193" s="38"/>
      <c r="C193" s="38"/>
      <c r="D193" s="38"/>
      <c r="E193" s="38" t="s">
        <v>188</v>
      </c>
      <c r="F193" s="468">
        <f>SUM(F190:F192)</f>
        <v>29682.94</v>
      </c>
      <c r="G193" s="38"/>
      <c r="H193" s="38"/>
      <c r="I193" s="465"/>
    </row>
    <row r="194" spans="1:9" s="66" customFormat="1" ht="15.75" customHeight="1">
      <c r="A194" s="38"/>
      <c r="B194" s="38"/>
      <c r="C194" s="38" t="s">
        <v>242</v>
      </c>
      <c r="D194" s="38"/>
      <c r="E194" s="38"/>
      <c r="F194" s="38"/>
      <c r="G194" s="38"/>
      <c r="H194" s="38"/>
      <c r="I194" s="38"/>
    </row>
    <row r="195" spans="1:9" s="66" customFormat="1" ht="15.75" customHeight="1">
      <c r="A195" s="38"/>
      <c r="B195" s="38"/>
      <c r="C195" s="38"/>
      <c r="D195" s="38"/>
      <c r="E195" s="38"/>
      <c r="F195" s="38"/>
      <c r="G195" s="38"/>
      <c r="H195" s="38"/>
      <c r="I195" s="38"/>
    </row>
    <row r="196" spans="1:9" s="66" customFormat="1" ht="22.5" customHeight="1">
      <c r="A196" s="38" t="s">
        <v>257</v>
      </c>
      <c r="B196" s="41"/>
      <c r="C196" s="41"/>
      <c r="D196" s="41"/>
      <c r="E196" s="41"/>
      <c r="F196" s="41"/>
      <c r="G196" s="41"/>
      <c r="H196" s="41"/>
      <c r="I196" s="41"/>
    </row>
    <row r="197" spans="1:9" s="66" customFormat="1" ht="22.5" customHeight="1">
      <c r="A197" s="38" t="s">
        <v>258</v>
      </c>
      <c r="B197" s="41"/>
      <c r="C197" s="41"/>
      <c r="D197" s="41"/>
      <c r="E197" s="41"/>
      <c r="F197" s="41"/>
      <c r="G197" s="41"/>
      <c r="H197" s="41"/>
      <c r="I197" s="41"/>
    </row>
    <row r="198" spans="1:9" s="66" customFormat="1" ht="22.5" customHeight="1">
      <c r="A198" s="38" t="s">
        <v>259</v>
      </c>
      <c r="B198" s="41"/>
      <c r="C198" s="41"/>
      <c r="D198" s="41"/>
      <c r="E198" s="41"/>
      <c r="F198" s="41"/>
      <c r="G198" s="41"/>
      <c r="H198" s="41"/>
      <c r="I198" s="41"/>
    </row>
    <row r="199" spans="1:9" s="66" customFormat="1" ht="22.5" customHeight="1">
      <c r="A199" s="38" t="s">
        <v>260</v>
      </c>
      <c r="B199" s="41"/>
      <c r="C199" s="41"/>
      <c r="D199" s="41"/>
      <c r="E199" s="41"/>
      <c r="F199" s="41"/>
      <c r="G199" s="41"/>
      <c r="H199" s="41"/>
      <c r="I199" s="41"/>
    </row>
    <row r="200" spans="1:9" s="66" customFormat="1" ht="22.5" customHeight="1">
      <c r="A200" s="38" t="s">
        <v>255</v>
      </c>
      <c r="B200" s="41"/>
      <c r="C200" s="41"/>
      <c r="D200" s="41"/>
      <c r="E200" s="41"/>
      <c r="F200" s="41"/>
      <c r="G200" s="41"/>
      <c r="H200" s="41"/>
      <c r="I200" s="41"/>
    </row>
    <row r="201" spans="1:9" s="66" customFormat="1" ht="22.5" customHeight="1">
      <c r="A201" s="38" t="s">
        <v>256</v>
      </c>
      <c r="B201" s="41"/>
      <c r="C201" s="41"/>
      <c r="D201" s="41"/>
      <c r="E201" s="41"/>
      <c r="F201" s="41"/>
      <c r="G201" s="41"/>
      <c r="H201" s="41"/>
      <c r="I201" s="41"/>
    </row>
    <row r="202" spans="1:9" s="66" customFormat="1" ht="22.5" customHeight="1">
      <c r="A202" s="38" t="s">
        <v>261</v>
      </c>
      <c r="B202" s="38"/>
      <c r="C202" s="38"/>
      <c r="D202" s="38"/>
      <c r="E202" s="38"/>
      <c r="F202" s="38"/>
      <c r="G202" s="38"/>
      <c r="H202" s="38"/>
      <c r="I202" s="38"/>
    </row>
    <row r="203" spans="1:9" s="66" customFormat="1" ht="22.5" customHeight="1">
      <c r="A203" s="38" t="s">
        <v>89</v>
      </c>
      <c r="B203" s="38"/>
      <c r="C203" s="38"/>
      <c r="D203" s="38"/>
      <c r="E203" s="38"/>
      <c r="F203" s="38"/>
      <c r="G203" s="38"/>
      <c r="H203" s="38"/>
      <c r="I203" s="38"/>
    </row>
    <row r="204" spans="1:9" s="66" customFormat="1" ht="22.5" customHeight="1">
      <c r="A204" s="38" t="s">
        <v>262</v>
      </c>
      <c r="B204" s="38"/>
      <c r="C204" s="38"/>
      <c r="D204" s="38"/>
      <c r="E204" s="38"/>
      <c r="F204" s="38"/>
      <c r="G204" s="38"/>
      <c r="H204" s="38"/>
      <c r="I204" s="38"/>
    </row>
    <row r="205" spans="1:9" s="66" customFormat="1" ht="22.5" customHeight="1">
      <c r="A205" s="38" t="s">
        <v>263</v>
      </c>
      <c r="B205" s="38"/>
      <c r="C205" s="38"/>
      <c r="D205" s="38"/>
      <c r="E205" s="38"/>
      <c r="F205" s="38"/>
      <c r="G205" s="38"/>
      <c r="H205" s="38"/>
      <c r="I205" s="38"/>
    </row>
    <row r="206" spans="1:9" s="66" customFormat="1" ht="22.5" customHeight="1">
      <c r="A206" s="38" t="s">
        <v>264</v>
      </c>
      <c r="B206" s="38"/>
      <c r="C206" s="38"/>
      <c r="D206" s="38"/>
      <c r="E206" s="38"/>
      <c r="F206" s="38"/>
      <c r="G206" s="38"/>
      <c r="H206" s="38"/>
      <c r="I206" s="38"/>
    </row>
    <row r="207" spans="1:9" s="66" customFormat="1" ht="22.5" customHeight="1">
      <c r="A207" s="38" t="s">
        <v>265</v>
      </c>
      <c r="B207" s="38"/>
      <c r="C207" s="38"/>
      <c r="D207" s="38"/>
      <c r="E207" s="38"/>
      <c r="F207" s="38"/>
      <c r="G207" s="38"/>
      <c r="H207" s="38"/>
      <c r="I207" s="38"/>
    </row>
    <row r="208" spans="1:9" s="66" customFormat="1" ht="22.5" customHeight="1">
      <c r="A208" s="38" t="s">
        <v>277</v>
      </c>
      <c r="B208" s="38"/>
      <c r="C208" s="38"/>
      <c r="D208" s="38"/>
      <c r="E208" s="38"/>
      <c r="F208" s="38"/>
      <c r="G208" s="38"/>
      <c r="H208" s="38"/>
      <c r="I208" s="38"/>
    </row>
    <row r="209" spans="1:9" s="66" customFormat="1" ht="22.5" customHeight="1">
      <c r="A209" s="38" t="s">
        <v>278</v>
      </c>
      <c r="B209" s="38"/>
      <c r="C209" s="38"/>
      <c r="D209" s="38"/>
      <c r="E209" s="38"/>
      <c r="F209" s="38"/>
      <c r="G209" s="38"/>
      <c r="H209" s="38"/>
      <c r="I209" s="38"/>
    </row>
    <row r="210" spans="1:9" s="66" customFormat="1" ht="22.5" customHeight="1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s="66" customFormat="1" ht="22.5" customHeight="1">
      <c r="A211" s="41"/>
      <c r="B211" s="41"/>
      <c r="C211" s="41"/>
      <c r="D211" s="41"/>
      <c r="E211" s="41"/>
      <c r="F211" s="41" t="s">
        <v>238</v>
      </c>
      <c r="G211" s="41"/>
      <c r="H211" s="41"/>
      <c r="I211" s="41"/>
    </row>
    <row r="212" spans="1:9" s="66" customFormat="1" ht="22.5" customHeight="1">
      <c r="A212" s="41"/>
      <c r="B212" s="41"/>
      <c r="C212" s="41"/>
      <c r="D212" s="41"/>
      <c r="E212" s="41"/>
      <c r="F212" s="42"/>
      <c r="G212" s="41"/>
      <c r="H212" s="41"/>
      <c r="I212" s="41"/>
    </row>
    <row r="213" s="66" customFormat="1" ht="22.5" customHeight="1">
      <c r="D213" s="67"/>
    </row>
    <row r="214" s="66" customFormat="1" ht="22.5" customHeight="1">
      <c r="D214" s="67"/>
    </row>
    <row r="215" s="66" customFormat="1" ht="22.5" customHeight="1">
      <c r="D215" s="67"/>
    </row>
    <row r="216" s="66" customFormat="1" ht="22.5" customHeight="1">
      <c r="D216" s="67"/>
    </row>
    <row r="217" s="66" customFormat="1" ht="22.5" customHeight="1">
      <c r="D217" s="67"/>
    </row>
    <row r="218" s="66" customFormat="1" ht="22.5" customHeight="1">
      <c r="D218" s="67"/>
    </row>
    <row r="219" s="66" customFormat="1" ht="22.5" customHeight="1">
      <c r="D219" s="67"/>
    </row>
    <row r="220" s="66" customFormat="1" ht="22.5" customHeight="1">
      <c r="D220" s="67"/>
    </row>
    <row r="221" s="66" customFormat="1" ht="22.5" customHeight="1">
      <c r="D221" s="67"/>
    </row>
    <row r="222" s="66" customFormat="1" ht="22.5" customHeight="1">
      <c r="D222" s="67"/>
    </row>
    <row r="223" s="66" customFormat="1" ht="22.5" customHeight="1">
      <c r="D223" s="67"/>
    </row>
    <row r="224" s="66" customFormat="1" ht="22.5" customHeight="1">
      <c r="D224" s="67"/>
    </row>
  </sheetData>
  <sheetProtection/>
  <mergeCells count="20">
    <mergeCell ref="C42:D42"/>
    <mergeCell ref="B11:H11"/>
    <mergeCell ref="B12:H12"/>
    <mergeCell ref="B13:H13"/>
    <mergeCell ref="B17:H17"/>
    <mergeCell ref="B18:E18"/>
    <mergeCell ref="B19:H19"/>
    <mergeCell ref="B21:E21"/>
    <mergeCell ref="B20:K20"/>
    <mergeCell ref="D31:F31"/>
    <mergeCell ref="B27:F27"/>
    <mergeCell ref="B22:K22"/>
    <mergeCell ref="B25:K25"/>
    <mergeCell ref="C3:G3"/>
    <mergeCell ref="B14:H14"/>
    <mergeCell ref="B15:H15"/>
    <mergeCell ref="B16:H16"/>
    <mergeCell ref="B23:K23"/>
    <mergeCell ref="B24:K24"/>
    <mergeCell ref="B26:K26"/>
  </mergeCells>
  <conditionalFormatting sqref="B63 C50 B78 B93 B108 B123 B137 B152 B167 B179 B191">
    <cfRule type="expression" priority="24" dxfId="0" stopIfTrue="1">
      <formula>#REF!=0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3"/>
  <legacyDrawing r:id="rId2"/>
  <oleObjects>
    <oleObject progId="Word.Document.8" shapeId="855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Francesco</cp:lastModifiedBy>
  <cp:lastPrinted>2007-10-27T16:39:42Z</cp:lastPrinted>
  <dcterms:created xsi:type="dcterms:W3CDTF">1996-11-05T10:16:36Z</dcterms:created>
  <dcterms:modified xsi:type="dcterms:W3CDTF">2015-05-24T09:25:09Z</dcterms:modified>
  <cp:category/>
  <cp:version/>
  <cp:contentType/>
  <cp:contentStatus/>
</cp:coreProperties>
</file>